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98442E9-6EF9-4CEC-A76E-67982DF3E0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СК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4" i="12" l="1"/>
  <c r="G227" i="12"/>
  <c r="G206" i="12"/>
  <c r="G188" i="12"/>
  <c r="G167" i="12"/>
  <c r="G146" i="12"/>
  <c r="G125" i="12"/>
  <c r="G104" i="12"/>
  <c r="G80" i="12"/>
  <c r="G59" i="12"/>
  <c r="G41" i="12"/>
  <c r="H424" i="12" l="1"/>
  <c r="F299" i="12" l="1"/>
  <c r="F302" i="12" s="1"/>
  <c r="H302" i="12" s="1"/>
  <c r="D296" i="12"/>
  <c r="F293" i="12"/>
  <c r="F296" i="12" s="1"/>
  <c r="H296" i="12" s="1"/>
  <c r="F291" i="12"/>
  <c r="H291" i="12" s="1"/>
  <c r="H290" i="12"/>
  <c r="H292" i="12" s="1"/>
  <c r="F290" i="12"/>
  <c r="H288" i="12"/>
  <c r="F288" i="12"/>
  <c r="F335" i="12"/>
  <c r="F338" i="12" s="1"/>
  <c r="H338" i="12" s="1"/>
  <c r="D332" i="12"/>
  <c r="F332" i="12" s="1"/>
  <c r="H332" i="12" s="1"/>
  <c r="F329" i="12"/>
  <c r="F333" i="12" s="1"/>
  <c r="H333" i="12" s="1"/>
  <c r="F327" i="12"/>
  <c r="H327" i="12" s="1"/>
  <c r="F326" i="12"/>
  <c r="H326" i="12" s="1"/>
  <c r="F324" i="12"/>
  <c r="H324" i="12" s="1"/>
  <c r="F317" i="12"/>
  <c r="F320" i="12" s="1"/>
  <c r="H320" i="12" s="1"/>
  <c r="D314" i="12"/>
  <c r="F314" i="12" s="1"/>
  <c r="H314" i="12" s="1"/>
  <c r="F311" i="12"/>
  <c r="F315" i="12" s="1"/>
  <c r="H315" i="12" s="1"/>
  <c r="F309" i="12"/>
  <c r="H309" i="12" s="1"/>
  <c r="F308" i="12"/>
  <c r="H308" i="12" s="1"/>
  <c r="F306" i="12"/>
  <c r="H306" i="12" s="1"/>
  <c r="F297" i="12" l="1"/>
  <c r="H297" i="12" s="1"/>
  <c r="H289" i="12"/>
  <c r="G289" i="12" s="1"/>
  <c r="H298" i="12"/>
  <c r="H295" i="12"/>
  <c r="G295" i="12" s="1"/>
  <c r="G287" i="12"/>
  <c r="H287" i="12" s="1"/>
  <c r="H303" i="12"/>
  <c r="H301" i="12" s="1"/>
  <c r="G301" i="12" s="1"/>
  <c r="F294" i="12"/>
  <c r="H294" i="12" s="1"/>
  <c r="G293" i="12" s="1"/>
  <c r="H293" i="12" s="1"/>
  <c r="F300" i="12"/>
  <c r="H300" i="12" s="1"/>
  <c r="F336" i="12"/>
  <c r="H336" i="12" s="1"/>
  <c r="F330" i="12"/>
  <c r="H330" i="12" s="1"/>
  <c r="H334" i="12"/>
  <c r="H331" i="12" s="1"/>
  <c r="H328" i="12"/>
  <c r="H325" i="12" s="1"/>
  <c r="H339" i="12"/>
  <c r="H337" i="12" s="1"/>
  <c r="F318" i="12"/>
  <c r="H318" i="12" s="1"/>
  <c r="F312" i="12"/>
  <c r="H312" i="12" s="1"/>
  <c r="H316" i="12"/>
  <c r="H313" i="12" s="1"/>
  <c r="H310" i="12"/>
  <c r="H307" i="12" s="1"/>
  <c r="G307" i="12" s="1"/>
  <c r="H321" i="12"/>
  <c r="H319" i="12" s="1"/>
  <c r="G299" i="12" l="1"/>
  <c r="H299" i="12" s="1"/>
  <c r="H286" i="12" s="1"/>
  <c r="G325" i="12"/>
  <c r="G323" i="12"/>
  <c r="H323" i="12" s="1"/>
  <c r="G337" i="12"/>
  <c r="G335" i="12"/>
  <c r="H335" i="12" s="1"/>
  <c r="G331" i="12"/>
  <c r="G329" i="12"/>
  <c r="H329" i="12" s="1"/>
  <c r="H322" i="12" s="1"/>
  <c r="G319" i="12"/>
  <c r="G317" i="12"/>
  <c r="H317" i="12" s="1"/>
  <c r="G313" i="12"/>
  <c r="G311" i="12"/>
  <c r="H311" i="12" s="1"/>
  <c r="G305" i="12"/>
  <c r="H305" i="12" s="1"/>
  <c r="H304" i="12" l="1"/>
  <c r="G98" i="12" l="1"/>
  <c r="F98" i="12"/>
  <c r="G97" i="12"/>
  <c r="F97" i="12"/>
  <c r="G96" i="12"/>
  <c r="F96" i="12"/>
  <c r="G253" i="12"/>
  <c r="G226" i="12"/>
  <c r="G205" i="12"/>
  <c r="G187" i="12"/>
  <c r="G166" i="12"/>
  <c r="G145" i="12"/>
  <c r="G124" i="12"/>
  <c r="G103" i="12"/>
  <c r="G58" i="12"/>
  <c r="G79" i="12"/>
  <c r="F34" i="12"/>
  <c r="H34" i="12" s="1"/>
  <c r="F33" i="12"/>
  <c r="F35" i="12"/>
  <c r="G35" i="12"/>
  <c r="H35" i="12" s="1"/>
  <c r="G34" i="12"/>
  <c r="G33" i="12"/>
  <c r="F406" i="12"/>
  <c r="H97" i="12" l="1"/>
  <c r="H96" i="12"/>
  <c r="H98" i="12"/>
  <c r="H33" i="12"/>
  <c r="F157" i="12" l="1"/>
  <c r="F28" i="12"/>
  <c r="F416" i="12" l="1"/>
  <c r="G248" i="12"/>
  <c r="G221" i="12"/>
  <c r="G200" i="12"/>
  <c r="G182" i="12"/>
  <c r="G161" i="12"/>
  <c r="G140" i="12"/>
  <c r="G119" i="12"/>
  <c r="G95" i="12"/>
  <c r="G74" i="12"/>
  <c r="G53" i="12"/>
  <c r="G247" i="12"/>
  <c r="G220" i="12"/>
  <c r="G199" i="12"/>
  <c r="G181" i="12"/>
  <c r="G160" i="12"/>
  <c r="G139" i="12"/>
  <c r="G118" i="12"/>
  <c r="G94" i="12"/>
  <c r="G73" i="12"/>
  <c r="G52" i="12"/>
  <c r="G235" i="12"/>
  <c r="G214" i="12"/>
  <c r="G175" i="12"/>
  <c r="G154" i="12"/>
  <c r="G133" i="12"/>
  <c r="G112" i="12"/>
  <c r="G88" i="12"/>
  <c r="G67" i="12"/>
  <c r="G25" i="12"/>
  <c r="G31" i="12"/>
  <c r="G32" i="12"/>
  <c r="G40" i="12" l="1"/>
  <c r="F371" i="12"/>
  <c r="F365" i="12"/>
  <c r="F420" i="12" l="1"/>
  <c r="H420" i="12" s="1"/>
  <c r="F419" i="12"/>
  <c r="H419" i="12" s="1"/>
  <c r="F417" i="12"/>
  <c r="H417" i="12" s="1"/>
  <c r="F414" i="12"/>
  <c r="H414" i="12" s="1"/>
  <c r="F413" i="12"/>
  <c r="H413" i="12" s="1"/>
  <c r="F412" i="12"/>
  <c r="H412" i="12" s="1"/>
  <c r="F410" i="12"/>
  <c r="H410" i="12" s="1"/>
  <c r="F404" i="12"/>
  <c r="H404" i="12" s="1"/>
  <c r="F403" i="12"/>
  <c r="H403" i="12" s="1"/>
  <c r="F401" i="12"/>
  <c r="F405" i="12" s="1"/>
  <c r="F398" i="12"/>
  <c r="H398" i="12" s="1"/>
  <c r="H399" i="12" s="1"/>
  <c r="H397" i="12"/>
  <c r="G397" i="12" s="1"/>
  <c r="F396" i="12"/>
  <c r="H396" i="12" s="1"/>
  <c r="F389" i="12"/>
  <c r="F390" i="12" s="1"/>
  <c r="H390" i="12" s="1"/>
  <c r="D386" i="12"/>
  <c r="F383" i="12"/>
  <c r="F381" i="12"/>
  <c r="H381" i="12" s="1"/>
  <c r="F380" i="12"/>
  <c r="H380" i="12" s="1"/>
  <c r="F378" i="12"/>
  <c r="H378" i="12" s="1"/>
  <c r="F374" i="12"/>
  <c r="H374" i="12" s="1"/>
  <c r="F372" i="12"/>
  <c r="H372" i="12" s="1"/>
  <c r="F369" i="12"/>
  <c r="H369" i="12" s="1"/>
  <c r="D368" i="12"/>
  <c r="F368" i="12" s="1"/>
  <c r="H368" i="12" s="1"/>
  <c r="F366" i="12"/>
  <c r="H366" i="12" s="1"/>
  <c r="F363" i="12"/>
  <c r="H363" i="12" s="1"/>
  <c r="F362" i="12"/>
  <c r="H362" i="12" s="1"/>
  <c r="F360" i="12"/>
  <c r="H360" i="12" s="1"/>
  <c r="F353" i="12"/>
  <c r="F354" i="12" s="1"/>
  <c r="H354" i="12" s="1"/>
  <c r="D350" i="12"/>
  <c r="F347" i="12"/>
  <c r="F351" i="12" s="1"/>
  <c r="H351" i="12" s="1"/>
  <c r="F345" i="12"/>
  <c r="H345" i="12" s="1"/>
  <c r="F344" i="12"/>
  <c r="H344" i="12" s="1"/>
  <c r="F342" i="12"/>
  <c r="H342" i="12" s="1"/>
  <c r="F281" i="12"/>
  <c r="F282" i="12" s="1"/>
  <c r="H282" i="12" s="1"/>
  <c r="D278" i="12"/>
  <c r="F275" i="12"/>
  <c r="F273" i="12"/>
  <c r="H273" i="12" s="1"/>
  <c r="F272" i="12"/>
  <c r="H272" i="12" s="1"/>
  <c r="F270" i="12"/>
  <c r="H270" i="12" s="1"/>
  <c r="F263" i="12"/>
  <c r="F266" i="12" s="1"/>
  <c r="H266" i="12" s="1"/>
  <c r="F261" i="12"/>
  <c r="H261" i="12" s="1"/>
  <c r="F260" i="12"/>
  <c r="H260" i="12" s="1"/>
  <c r="F258" i="12"/>
  <c r="H258" i="12" s="1"/>
  <c r="F250" i="12"/>
  <c r="F253" i="12" s="1"/>
  <c r="H253" i="12" s="1"/>
  <c r="F244" i="12"/>
  <c r="F247" i="12" s="1"/>
  <c r="H247" i="12" s="1"/>
  <c r="D241" i="12"/>
  <c r="F238" i="12"/>
  <c r="F242" i="12" s="1"/>
  <c r="H242" i="12" s="1"/>
  <c r="F236" i="12"/>
  <c r="H236" i="12" s="1"/>
  <c r="F235" i="12"/>
  <c r="H235" i="12" s="1"/>
  <c r="D234" i="12"/>
  <c r="F234" i="12" s="1"/>
  <c r="H234" i="12" s="1"/>
  <c r="F233" i="12"/>
  <c r="H233" i="12" s="1"/>
  <c r="F231" i="12"/>
  <c r="H231" i="12" s="1"/>
  <c r="F223" i="12"/>
  <c r="F227" i="12" s="1"/>
  <c r="H227" i="12" s="1"/>
  <c r="F217" i="12"/>
  <c r="F220" i="12" s="1"/>
  <c r="H220" i="12" s="1"/>
  <c r="F215" i="12"/>
  <c r="H215" i="12" s="1"/>
  <c r="F214" i="12"/>
  <c r="H214" i="12" s="1"/>
  <c r="D213" i="12"/>
  <c r="F213" i="12" s="1"/>
  <c r="H213" i="12" s="1"/>
  <c r="F212" i="12"/>
  <c r="H212" i="12" s="1"/>
  <c r="F210" i="12"/>
  <c r="H210" i="12" s="1"/>
  <c r="F202" i="12"/>
  <c r="F206" i="12" s="1"/>
  <c r="H206" i="12" s="1"/>
  <c r="F196" i="12"/>
  <c r="F199" i="12" s="1"/>
  <c r="H199" i="12" s="1"/>
  <c r="F194" i="12"/>
  <c r="H194" i="12" s="1"/>
  <c r="F192" i="12"/>
  <c r="H192" i="12" s="1"/>
  <c r="F184" i="12"/>
  <c r="F187" i="12" s="1"/>
  <c r="H187" i="12" s="1"/>
  <c r="F178" i="12"/>
  <c r="F181" i="12" s="1"/>
  <c r="H181" i="12" s="1"/>
  <c r="F176" i="12"/>
  <c r="H176" i="12" s="1"/>
  <c r="F175" i="12"/>
  <c r="H175" i="12" s="1"/>
  <c r="D174" i="12"/>
  <c r="F174" i="12" s="1"/>
  <c r="H174" i="12" s="1"/>
  <c r="F173" i="12"/>
  <c r="H173" i="12" s="1"/>
  <c r="F171" i="12"/>
  <c r="H171" i="12" s="1"/>
  <c r="F163" i="12"/>
  <c r="F164" i="12" s="1"/>
  <c r="H164" i="12" s="1"/>
  <c r="F155" i="12"/>
  <c r="H155" i="12" s="1"/>
  <c r="F154" i="12"/>
  <c r="H154" i="12" s="1"/>
  <c r="D153" i="12"/>
  <c r="F153" i="12" s="1"/>
  <c r="H153" i="12" s="1"/>
  <c r="H152" i="12"/>
  <c r="F152" i="12"/>
  <c r="F150" i="12"/>
  <c r="H150" i="12" s="1"/>
  <c r="F142" i="12"/>
  <c r="F139" i="12"/>
  <c r="H139" i="12" s="1"/>
  <c r="F136" i="12"/>
  <c r="F134" i="12"/>
  <c r="H134" i="12" s="1"/>
  <c r="F133" i="12"/>
  <c r="H133" i="12" s="1"/>
  <c r="D132" i="12"/>
  <c r="F132" i="12" s="1"/>
  <c r="H132" i="12" s="1"/>
  <c r="F131" i="12"/>
  <c r="H131" i="12" s="1"/>
  <c r="F129" i="12"/>
  <c r="H129" i="12" s="1"/>
  <c r="F121" i="12"/>
  <c r="F118" i="12"/>
  <c r="H118" i="12" s="1"/>
  <c r="F115" i="12"/>
  <c r="F119" i="12" s="1"/>
  <c r="H119" i="12" s="1"/>
  <c r="F113" i="12"/>
  <c r="H113" i="12" s="1"/>
  <c r="F112" i="12"/>
  <c r="H112" i="12" s="1"/>
  <c r="D111" i="12"/>
  <c r="F111" i="12" s="1"/>
  <c r="H111" i="12" s="1"/>
  <c r="F110" i="12"/>
  <c r="H110" i="12" s="1"/>
  <c r="F108" i="12"/>
  <c r="H108" i="12" s="1"/>
  <c r="F100" i="12"/>
  <c r="F103" i="12" s="1"/>
  <c r="H103" i="12" s="1"/>
  <c r="F91" i="12"/>
  <c r="F94" i="12" s="1"/>
  <c r="H94" i="12" s="1"/>
  <c r="F89" i="12"/>
  <c r="H89" i="12" s="1"/>
  <c r="F88" i="12"/>
  <c r="H88" i="12" s="1"/>
  <c r="D87" i="12"/>
  <c r="F87" i="12" s="1"/>
  <c r="H87" i="12" s="1"/>
  <c r="F86" i="12"/>
  <c r="H86" i="12" s="1"/>
  <c r="F84" i="12"/>
  <c r="H84" i="12" s="1"/>
  <c r="F76" i="12"/>
  <c r="F79" i="12" s="1"/>
  <c r="H79" i="12" s="1"/>
  <c r="F70" i="12"/>
  <c r="F68" i="12"/>
  <c r="H68" i="12" s="1"/>
  <c r="F67" i="12"/>
  <c r="H67" i="12" s="1"/>
  <c r="D66" i="12"/>
  <c r="F66" i="12" s="1"/>
  <c r="H66" i="12" s="1"/>
  <c r="F65" i="12"/>
  <c r="H65" i="12" s="1"/>
  <c r="F63" i="12"/>
  <c r="H63" i="12" s="1"/>
  <c r="F55" i="12"/>
  <c r="F59" i="12" s="1"/>
  <c r="H59" i="12" s="1"/>
  <c r="F49" i="12"/>
  <c r="F53" i="12" s="1"/>
  <c r="H53" i="12" s="1"/>
  <c r="F47" i="12"/>
  <c r="H47" i="12" s="1"/>
  <c r="F45" i="12"/>
  <c r="H45" i="12" s="1"/>
  <c r="F37" i="12"/>
  <c r="F41" i="12" s="1"/>
  <c r="H41" i="12" s="1"/>
  <c r="F32" i="12"/>
  <c r="H32" i="12" s="1"/>
  <c r="F31" i="12"/>
  <c r="H31" i="12" s="1"/>
  <c r="F26" i="12"/>
  <c r="H26" i="12" s="1"/>
  <c r="F25" i="12"/>
  <c r="H25" i="12" s="1"/>
  <c r="D24" i="12"/>
  <c r="F24" i="12" s="1"/>
  <c r="H24" i="12" s="1"/>
  <c r="F23" i="12"/>
  <c r="H23" i="12" s="1"/>
  <c r="F21" i="12"/>
  <c r="H21" i="12" s="1"/>
  <c r="F40" i="12" l="1"/>
  <c r="H40" i="12" s="1"/>
  <c r="F188" i="12"/>
  <c r="H188" i="12" s="1"/>
  <c r="H189" i="12" s="1"/>
  <c r="H186" i="12" s="1"/>
  <c r="G186" i="12" s="1"/>
  <c r="F58" i="12"/>
  <c r="H58" i="12" s="1"/>
  <c r="F101" i="12"/>
  <c r="H101" i="12" s="1"/>
  <c r="F104" i="12"/>
  <c r="H104" i="12" s="1"/>
  <c r="H105" i="12" s="1"/>
  <c r="H102" i="12" s="1"/>
  <c r="G102" i="12" s="1"/>
  <c r="F167" i="12"/>
  <c r="H167" i="12" s="1"/>
  <c r="F179" i="12"/>
  <c r="H179" i="12" s="1"/>
  <c r="F264" i="12"/>
  <c r="H264" i="12" s="1"/>
  <c r="F92" i="12"/>
  <c r="H92" i="12" s="1"/>
  <c r="F116" i="12"/>
  <c r="H116" i="12" s="1"/>
  <c r="F52" i="12"/>
  <c r="H52" i="12" s="1"/>
  <c r="F77" i="12"/>
  <c r="H77" i="12" s="1"/>
  <c r="F203" i="12"/>
  <c r="H203" i="12" s="1"/>
  <c r="F224" i="12"/>
  <c r="H224" i="12" s="1"/>
  <c r="F245" i="12"/>
  <c r="H245" i="12" s="1"/>
  <c r="F248" i="12"/>
  <c r="H248" i="12" s="1"/>
  <c r="H249" i="12" s="1"/>
  <c r="H246" i="12" s="1"/>
  <c r="F80" i="12"/>
  <c r="H80" i="12" s="1"/>
  <c r="H81" i="12" s="1"/>
  <c r="H78" i="12" s="1"/>
  <c r="G78" i="12" s="1"/>
  <c r="H135" i="12"/>
  <c r="H130" i="12" s="1"/>
  <c r="F185" i="12"/>
  <c r="H185" i="12" s="1"/>
  <c r="F197" i="12"/>
  <c r="H197" i="12" s="1"/>
  <c r="F205" i="12"/>
  <c r="H205" i="12" s="1"/>
  <c r="H207" i="12" s="1"/>
  <c r="H204" i="12" s="1"/>
  <c r="F218" i="12"/>
  <c r="H218" i="12" s="1"/>
  <c r="F226" i="12"/>
  <c r="H226" i="12" s="1"/>
  <c r="H228" i="12" s="1"/>
  <c r="H225" i="12" s="1"/>
  <c r="F254" i="12"/>
  <c r="H254" i="12" s="1"/>
  <c r="H255" i="12" s="1"/>
  <c r="H252" i="12" s="1"/>
  <c r="G252" i="12" s="1"/>
  <c r="F348" i="12"/>
  <c r="H348" i="12" s="1"/>
  <c r="F356" i="12"/>
  <c r="H356" i="12" s="1"/>
  <c r="H357" i="12" s="1"/>
  <c r="H355" i="12" s="1"/>
  <c r="G355" i="12" s="1"/>
  <c r="H421" i="12"/>
  <c r="H36" i="12"/>
  <c r="H30" i="12" s="1"/>
  <c r="F56" i="12"/>
  <c r="H56" i="12" s="1"/>
  <c r="F200" i="12"/>
  <c r="H200" i="12" s="1"/>
  <c r="H201" i="12" s="1"/>
  <c r="H198" i="12" s="1"/>
  <c r="F221" i="12"/>
  <c r="H221" i="12" s="1"/>
  <c r="H222" i="12" s="1"/>
  <c r="F350" i="12"/>
  <c r="H350" i="12" s="1"/>
  <c r="H352" i="12" s="1"/>
  <c r="H349" i="12" s="1"/>
  <c r="F386" i="12"/>
  <c r="H386" i="12" s="1"/>
  <c r="F392" i="12"/>
  <c r="H392" i="12" s="1"/>
  <c r="H393" i="12" s="1"/>
  <c r="H391" i="12" s="1"/>
  <c r="H54" i="12"/>
  <c r="H90" i="12"/>
  <c r="F73" i="12"/>
  <c r="H73" i="12" s="1"/>
  <c r="H75" i="12" s="1"/>
  <c r="F71" i="12"/>
  <c r="H71" i="12" s="1"/>
  <c r="F74" i="12"/>
  <c r="H74" i="12" s="1"/>
  <c r="F161" i="12"/>
  <c r="H161" i="12" s="1"/>
  <c r="F158" i="12"/>
  <c r="H158" i="12" s="1"/>
  <c r="F160" i="12"/>
  <c r="H160" i="12" s="1"/>
  <c r="H346" i="12"/>
  <c r="H343" i="12" s="1"/>
  <c r="H195" i="12"/>
  <c r="H193" i="12" s="1"/>
  <c r="H364" i="12"/>
  <c r="H361" i="12" s="1"/>
  <c r="F29" i="12"/>
  <c r="H29" i="12" s="1"/>
  <c r="H69" i="12"/>
  <c r="H64" i="12" s="1"/>
  <c r="G62" i="12" s="1"/>
  <c r="H62" i="12" s="1"/>
  <c r="H114" i="12"/>
  <c r="H109" i="12" s="1"/>
  <c r="G109" i="12" s="1"/>
  <c r="H156" i="12"/>
  <c r="H151" i="12" s="1"/>
  <c r="H274" i="12"/>
  <c r="H271" i="12" s="1"/>
  <c r="H382" i="12"/>
  <c r="H379" i="12" s="1"/>
  <c r="H262" i="12"/>
  <c r="H259" i="12" s="1"/>
  <c r="G259" i="12" s="1"/>
  <c r="F387" i="12"/>
  <c r="H387" i="12" s="1"/>
  <c r="F384" i="12"/>
  <c r="H384" i="12" s="1"/>
  <c r="H48" i="12"/>
  <c r="H46" i="12" s="1"/>
  <c r="H60" i="12"/>
  <c r="H57" i="12" s="1"/>
  <c r="F125" i="12"/>
  <c r="H125" i="12" s="1"/>
  <c r="F122" i="12"/>
  <c r="H122" i="12" s="1"/>
  <c r="F124" i="12"/>
  <c r="H124" i="12" s="1"/>
  <c r="F146" i="12"/>
  <c r="H146" i="12" s="1"/>
  <c r="F143" i="12"/>
  <c r="H143" i="12" s="1"/>
  <c r="F145" i="12"/>
  <c r="H145" i="12" s="1"/>
  <c r="H177" i="12"/>
  <c r="H172" i="12" s="1"/>
  <c r="H42" i="12"/>
  <c r="H39" i="12" s="1"/>
  <c r="H120" i="12"/>
  <c r="H117" i="12" s="1"/>
  <c r="G117" i="12" s="1"/>
  <c r="H267" i="12"/>
  <c r="H265" i="12" s="1"/>
  <c r="F166" i="12"/>
  <c r="H166" i="12" s="1"/>
  <c r="F241" i="12"/>
  <c r="H241" i="12" s="1"/>
  <c r="F276" i="12"/>
  <c r="H276" i="12" s="1"/>
  <c r="F279" i="12"/>
  <c r="H279" i="12" s="1"/>
  <c r="F407" i="12"/>
  <c r="H407" i="12" s="1"/>
  <c r="H405" i="12"/>
  <c r="H415" i="12"/>
  <c r="H411" i="12" s="1"/>
  <c r="F38" i="12"/>
  <c r="H38" i="12" s="1"/>
  <c r="F50" i="12"/>
  <c r="H50" i="12" s="1"/>
  <c r="F95" i="12"/>
  <c r="H95" i="12" s="1"/>
  <c r="H99" i="12" s="1"/>
  <c r="F140" i="12"/>
  <c r="H140" i="12" s="1"/>
  <c r="H141" i="12" s="1"/>
  <c r="H138" i="12" s="1"/>
  <c r="F137" i="12"/>
  <c r="H137" i="12" s="1"/>
  <c r="F182" i="12"/>
  <c r="H182" i="12" s="1"/>
  <c r="H183" i="12" s="1"/>
  <c r="H180" i="12" s="1"/>
  <c r="G180" i="12" s="1"/>
  <c r="H216" i="12"/>
  <c r="H211" i="12" s="1"/>
  <c r="G211" i="12" s="1"/>
  <c r="H237" i="12"/>
  <c r="H232" i="12" s="1"/>
  <c r="F239" i="12"/>
  <c r="H239" i="12" s="1"/>
  <c r="F278" i="12"/>
  <c r="H278" i="12" s="1"/>
  <c r="F284" i="12"/>
  <c r="H284" i="12" s="1"/>
  <c r="H285" i="12" s="1"/>
  <c r="H283" i="12" s="1"/>
  <c r="G395" i="12"/>
  <c r="H395" i="12" s="1"/>
  <c r="H401" i="12"/>
  <c r="H406" i="12"/>
  <c r="F251" i="12"/>
  <c r="H251" i="12" s="1"/>
  <c r="H418" i="12"/>
  <c r="G418" i="12" s="1"/>
  <c r="H51" i="12"/>
  <c r="H85" i="12"/>
  <c r="G64" i="12"/>
  <c r="H27" i="12"/>
  <c r="H22" i="12" s="1"/>
  <c r="H375" i="12"/>
  <c r="H373" i="12" s="1"/>
  <c r="G373" i="12" s="1"/>
  <c r="H370" i="12"/>
  <c r="H367" i="12" s="1"/>
  <c r="G130" i="12" l="1"/>
  <c r="G128" i="12"/>
  <c r="H128" i="12" s="1"/>
  <c r="G115" i="12"/>
  <c r="H115" i="12" s="1"/>
  <c r="H17" i="12"/>
  <c r="H388" i="12"/>
  <c r="H385" i="12" s="1"/>
  <c r="G385" i="12" s="1"/>
  <c r="G107" i="12"/>
  <c r="H107" i="12" s="1"/>
  <c r="G353" i="12"/>
  <c r="H353" i="12" s="1"/>
  <c r="H93" i="12"/>
  <c r="G91" i="12" s="1"/>
  <c r="H91" i="12" s="1"/>
  <c r="G225" i="12"/>
  <c r="G223" i="12"/>
  <c r="H223" i="12" s="1"/>
  <c r="G343" i="12"/>
  <c r="G341" i="12"/>
  <c r="H341" i="12" s="1"/>
  <c r="G361" i="12"/>
  <c r="G359" i="12"/>
  <c r="H359" i="12" s="1"/>
  <c r="G349" i="12"/>
  <c r="G347" i="12"/>
  <c r="H347" i="12" s="1"/>
  <c r="H219" i="12"/>
  <c r="G184" i="12"/>
  <c r="H184" i="12" s="1"/>
  <c r="G93" i="12"/>
  <c r="H72" i="12"/>
  <c r="G70" i="12" s="1"/>
  <c r="H70" i="12" s="1"/>
  <c r="G209" i="12"/>
  <c r="H209" i="12" s="1"/>
  <c r="H408" i="12"/>
  <c r="H402" i="12" s="1"/>
  <c r="G402" i="12" s="1"/>
  <c r="H162" i="12"/>
  <c r="H159" i="12" s="1"/>
  <c r="G46" i="12"/>
  <c r="G44" i="12"/>
  <c r="H44" i="12" s="1"/>
  <c r="G204" i="12"/>
  <c r="G202" i="12"/>
  <c r="H202" i="12" s="1"/>
  <c r="G271" i="12"/>
  <c r="G269" i="12"/>
  <c r="H269" i="12" s="1"/>
  <c r="G151" i="12"/>
  <c r="G149" i="12"/>
  <c r="H149" i="12" s="1"/>
  <c r="G193" i="12"/>
  <c r="G191" i="12"/>
  <c r="H191" i="12" s="1"/>
  <c r="G265" i="12"/>
  <c r="G263" i="12"/>
  <c r="H263" i="12" s="1"/>
  <c r="G136" i="12"/>
  <c r="H136" i="12" s="1"/>
  <c r="G138" i="12"/>
  <c r="G57" i="12"/>
  <c r="G55" i="12"/>
  <c r="H55" i="12" s="1"/>
  <c r="G379" i="12"/>
  <c r="G377" i="12"/>
  <c r="H377" i="12" s="1"/>
  <c r="G409" i="12"/>
  <c r="H409" i="12" s="1"/>
  <c r="G411" i="12"/>
  <c r="G100" i="12"/>
  <c r="H100" i="12" s="1"/>
  <c r="G178" i="12"/>
  <c r="H178" i="12" s="1"/>
  <c r="H280" i="12"/>
  <c r="H277" i="12" s="1"/>
  <c r="G277" i="12" s="1"/>
  <c r="H126" i="12"/>
  <c r="H123" i="12" s="1"/>
  <c r="G123" i="12" s="1"/>
  <c r="G250" i="12"/>
  <c r="H250" i="12" s="1"/>
  <c r="H243" i="12"/>
  <c r="H240" i="12" s="1"/>
  <c r="H168" i="12"/>
  <c r="H165" i="12" s="1"/>
  <c r="H147" i="12"/>
  <c r="H144" i="12" s="1"/>
  <c r="G257" i="12"/>
  <c r="H257" i="12" s="1"/>
  <c r="G76" i="12"/>
  <c r="H76" i="12" s="1"/>
  <c r="G391" i="12"/>
  <c r="G389" i="12"/>
  <c r="H389" i="12" s="1"/>
  <c r="G283" i="12"/>
  <c r="G281" i="12"/>
  <c r="H281" i="12" s="1"/>
  <c r="G416" i="12"/>
  <c r="H416" i="12" s="1"/>
  <c r="G246" i="12"/>
  <c r="G244" i="12"/>
  <c r="H244" i="12" s="1"/>
  <c r="G196" i="12"/>
  <c r="H196" i="12" s="1"/>
  <c r="G198" i="12"/>
  <c r="G51" i="12"/>
  <c r="G49" i="12"/>
  <c r="H49" i="12" s="1"/>
  <c r="G232" i="12"/>
  <c r="G230" i="12"/>
  <c r="H230" i="12" s="1"/>
  <c r="G172" i="12"/>
  <c r="G170" i="12"/>
  <c r="H170" i="12" s="1"/>
  <c r="G85" i="12"/>
  <c r="G83" i="12"/>
  <c r="H83" i="12" s="1"/>
  <c r="G39" i="12"/>
  <c r="G37" i="12"/>
  <c r="H37" i="12" s="1"/>
  <c r="G30" i="12"/>
  <c r="G28" i="12"/>
  <c r="H28" i="12" s="1"/>
  <c r="G22" i="12"/>
  <c r="G20" i="12"/>
  <c r="H20" i="12" s="1"/>
  <c r="G371" i="12"/>
  <c r="H371" i="12" s="1"/>
  <c r="G367" i="12"/>
  <c r="G365" i="12"/>
  <c r="H365" i="12" s="1"/>
  <c r="H425" i="12" l="1"/>
  <c r="H18" i="12" s="1"/>
  <c r="H16" i="12" s="1"/>
  <c r="H6" i="12" s="1"/>
  <c r="H340" i="12"/>
  <c r="H43" i="12"/>
  <c r="G72" i="12"/>
  <c r="G383" i="12"/>
  <c r="H383" i="12" s="1"/>
  <c r="H376" i="12" s="1"/>
  <c r="H61" i="12"/>
  <c r="G217" i="12"/>
  <c r="H217" i="12" s="1"/>
  <c r="H208" i="12" s="1"/>
  <c r="G219" i="12"/>
  <c r="H169" i="12"/>
  <c r="H82" i="12"/>
  <c r="G400" i="12"/>
  <c r="H400" i="12" s="1"/>
  <c r="H394" i="12" s="1"/>
  <c r="G159" i="12"/>
  <c r="G157" i="12"/>
  <c r="H157" i="12" s="1"/>
  <c r="G144" i="12"/>
  <c r="G142" i="12"/>
  <c r="H142" i="12" s="1"/>
  <c r="H127" i="12" s="1"/>
  <c r="G165" i="12"/>
  <c r="G163" i="12"/>
  <c r="H163" i="12" s="1"/>
  <c r="G240" i="12"/>
  <c r="G238" i="12"/>
  <c r="H238" i="12" s="1"/>
  <c r="H229" i="12" s="1"/>
  <c r="G275" i="12"/>
  <c r="H275" i="12" s="1"/>
  <c r="H268" i="12" s="1"/>
  <c r="H256" i="12"/>
  <c r="H190" i="12"/>
  <c r="G121" i="12"/>
  <c r="H121" i="12" s="1"/>
  <c r="H106" i="12" s="1"/>
  <c r="H358" i="12"/>
  <c r="H19" i="12"/>
  <c r="H148" i="12" l="1"/>
  <c r="H422" i="12" s="1"/>
  <c r="H423" i="12" s="1"/>
</calcChain>
</file>

<file path=xl/sharedStrings.xml><?xml version="1.0" encoding="utf-8"?>
<sst xmlns="http://schemas.openxmlformats.org/spreadsheetml/2006/main" count="835" uniqueCount="192">
  <si>
    <t>Объект:</t>
  </si>
  <si>
    <t>Итоговая стоимость:</t>
  </si>
  <si>
    <t>руб</t>
  </si>
  <si>
    <t>Аванс :</t>
  </si>
  <si>
    <t>Планируемое начало работ:</t>
  </si>
  <si>
    <t>Планируемое окончание работ:</t>
  </si>
  <si>
    <t>Подрядчик:</t>
  </si>
  <si>
    <t>Вид  калькуляции:</t>
  </si>
  <si>
    <t>основная</t>
  </si>
  <si>
    <t>Основание:</t>
  </si>
  <si>
    <t>Стоимость на 1 м2 продаваемой площади:</t>
  </si>
  <si>
    <t>№ п.п.</t>
  </si>
  <si>
    <t>Наименование работ</t>
  </si>
  <si>
    <t>Расход</t>
  </si>
  <si>
    <t>Объем</t>
  </si>
  <si>
    <t>Стоимость за единицу</t>
  </si>
  <si>
    <t>Итого, руб.</t>
  </si>
  <si>
    <t>работы</t>
  </si>
  <si>
    <t>материалы</t>
  </si>
  <si>
    <t>1.1</t>
  </si>
  <si>
    <t>м2</t>
  </si>
  <si>
    <t>работа</t>
  </si>
  <si>
    <t>материалы, в т.ч.:</t>
  </si>
  <si>
    <t>Грунтовка глубокого проникновения Grund-Konzentrat</t>
  </si>
  <si>
    <t>л</t>
  </si>
  <si>
    <t>м3</t>
  </si>
  <si>
    <t>Клеящая смесь Capatect Kleber 85R</t>
  </si>
  <si>
    <t>кг</t>
  </si>
  <si>
    <t>шт</t>
  </si>
  <si>
    <t>1.2</t>
  </si>
  <si>
    <t>Армирующая смесь Капарол 86R</t>
  </si>
  <si>
    <t>Армирующая щелочестойкая сетка из стекловолокна Крепикс 2000</t>
  </si>
  <si>
    <t>п.м</t>
  </si>
  <si>
    <t xml:space="preserve">Герметик силиконовый Tytan Универсальный Бесцветный 310мл </t>
  </si>
  <si>
    <t>1.3</t>
  </si>
  <si>
    <t>Грунтовка под декоративную штукатурку Putzgrund 610</t>
  </si>
  <si>
    <t>2</t>
  </si>
  <si>
    <t>2.1</t>
  </si>
  <si>
    <t>Подконструкция NordFox</t>
  </si>
  <si>
    <t>Анкер 10х120 мм</t>
  </si>
  <si>
    <t>2.2</t>
  </si>
  <si>
    <t>2.3</t>
  </si>
  <si>
    <t>Алюминиевые кассеты Sevalcon</t>
  </si>
  <si>
    <t>3</t>
  </si>
  <si>
    <t>3.1</t>
  </si>
  <si>
    <t>Подконструкция (скрытое крепление)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</si>
  <si>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</si>
  <si>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</si>
  <si>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</si>
  <si>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</si>
  <si>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</si>
  <si>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</si>
  <si>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</si>
  <si>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</si>
  <si>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</si>
  <si>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</si>
  <si>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6</t>
  </si>
  <si>
    <t>Разные работы</t>
  </si>
  <si>
    <t>6.1</t>
  </si>
  <si>
    <t xml:space="preserve">Устройств примыканий м/у системами и нащельник НВФ </t>
  </si>
  <si>
    <t>пог.м</t>
  </si>
  <si>
    <t>Фасонный элемент (оцинковка окрашена в цвет, лист 0,5мм)</t>
  </si>
  <si>
    <t>6.2</t>
  </si>
  <si>
    <t>Отлив (оцинковка окрашена в цвет, лист толщ.0,5мм)</t>
  </si>
  <si>
    <t>6.3</t>
  </si>
  <si>
    <t>Монтаж оконных отливов по штукатурному фасаду</t>
  </si>
  <si>
    <t>Монтажная пена профессиональная</t>
  </si>
  <si>
    <t>Торцевая заглушка</t>
  </si>
  <si>
    <t>Саморез 22 мм</t>
  </si>
  <si>
    <t>Комплекс работ по монтажу воздушных клапанов СВК В-75М</t>
  </si>
  <si>
    <t>Клапан воздушный СВК В-75М</t>
  </si>
  <si>
    <t>шт.</t>
  </si>
  <si>
    <t>Пена монтажная</t>
  </si>
  <si>
    <t>Стиз А</t>
  </si>
  <si>
    <t>ИТОГО в т.ч. НДС 20%:</t>
  </si>
  <si>
    <t xml:space="preserve"> в т.ч. НДС 20%:</t>
  </si>
  <si>
    <t>Стоимость работ:</t>
  </si>
  <si>
    <t>Стоимость материалов:</t>
  </si>
  <si>
    <t>Монтаж теплоизоляционной плиты (1 слой)</t>
  </si>
  <si>
    <t>Монтаж теплоизоляционной плиты (2 слой)</t>
  </si>
  <si>
    <t>"Северный квартал" 1 очередь</t>
  </si>
  <si>
    <t>Транспортные расходы</t>
  </si>
  <si>
    <t>3%</t>
  </si>
  <si>
    <r>
      <t xml:space="preserve">Плита минераловатная Эковер "Экофасад" </t>
    </r>
    <r>
      <rPr>
        <sz val="10"/>
        <rFont val="Verdana"/>
        <family val="2"/>
        <charset val="204"/>
      </rPr>
      <t>50 мм</t>
    </r>
  </si>
  <si>
    <t>Устройство штукатурного фасада с утеплением. Система Капарол. БЕЛЫЙ.</t>
  </si>
  <si>
    <t>Устройство штукатурного фасада с утеплением. Система Капарол. СВЕТЛО-СЕРЫЙ.</t>
  </si>
  <si>
    <t xml:space="preserve">Монтаж теплоизоляционной плиты </t>
  </si>
  <si>
    <t>Устройство штукатурного фасада с утеплением. Система Капарол. ТЕМНО-СЕРЫЙ.</t>
  </si>
  <si>
    <t>Устройство штукатурного фасада с утеплением. Система Капарол.  СЕРЫЙ.</t>
  </si>
  <si>
    <t>Устройство штукатурных вставок. Система Капарол. ТЕМНО-СЕРЫЙ.</t>
  </si>
  <si>
    <t>Устройство отделок кровли. Система Капарол. ТЕМНО-СЕРЫЙ.</t>
  </si>
  <si>
    <t>Устройство парапетов по аквапанелям. Система Капарол. БЕЛЫЙ.</t>
  </si>
  <si>
    <t>Устройство парапетов по аквапанелям. Система Капарол. ТЕМНО-СЕРЫЙ</t>
  </si>
  <si>
    <r>
      <t xml:space="preserve">Плита минераловатная Эковер "Экофасад" </t>
    </r>
    <r>
      <rPr>
        <sz val="10"/>
        <rFont val="Verdana"/>
        <family val="2"/>
        <charset val="204"/>
      </rPr>
      <t xml:space="preserve">250 мм </t>
    </r>
  </si>
  <si>
    <t>Устройство дев шва</t>
  </si>
  <si>
    <t>Плита минераловатная/вилотерм</t>
  </si>
  <si>
    <t>Профиль деформационный</t>
  </si>
  <si>
    <t>Фасадные работы. Фасад (секция 1-6) 17-18-00</t>
  </si>
  <si>
    <t xml:space="preserve">Калькуляция № </t>
  </si>
  <si>
    <t>17-18-01/02/03/04/05/06-АР7</t>
  </si>
  <si>
    <t>Един. измер.</t>
  </si>
  <si>
    <t>Утепленные потолки, 1эт входная группа</t>
  </si>
  <si>
    <t>Декоративная штукатурка Капарол К20 (структурная, зернистая) цвет Basalt 13</t>
  </si>
  <si>
    <t>7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</si>
  <si>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</si>
  <si>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</si>
  <si>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</si>
  <si>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</si>
  <si>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</si>
  <si>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</si>
  <si>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</si>
  <si>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</si>
  <si>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</si>
  <si>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</si>
  <si>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</si>
  <si>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</si>
  <si>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</si>
  <si>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</si>
  <si>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</si>
  <si>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</si>
  <si>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</si>
  <si>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</si>
  <si>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</si>
  <si>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</si>
  <si>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12</t>
  </si>
  <si>
    <t>12.1</t>
  </si>
  <si>
    <t>12.2</t>
  </si>
  <si>
    <t>13</t>
  </si>
  <si>
    <t>13.1</t>
  </si>
  <si>
    <t>13.2</t>
  </si>
  <si>
    <t>13.3</t>
  </si>
  <si>
    <t>14</t>
  </si>
  <si>
    <t>14.1</t>
  </si>
  <si>
    <t>14.2</t>
  </si>
  <si>
    <t>14.3</t>
  </si>
  <si>
    <t>15</t>
  </si>
  <si>
    <t>15.1</t>
  </si>
  <si>
    <t>15.2</t>
  </si>
  <si>
    <t>15.3</t>
  </si>
  <si>
    <t>16</t>
  </si>
  <si>
    <t>16.1</t>
  </si>
  <si>
    <t>16.2</t>
  </si>
  <si>
    <t>16.3</t>
  </si>
  <si>
    <t>17</t>
  </si>
  <si>
    <t>17.1</t>
  </si>
  <si>
    <t>17.2</t>
  </si>
  <si>
    <t>17.3</t>
  </si>
  <si>
    <t>18</t>
  </si>
  <si>
    <t>18.1</t>
  </si>
  <si>
    <t>18.3</t>
  </si>
  <si>
    <t>18.4</t>
  </si>
  <si>
    <t>18.2</t>
  </si>
  <si>
    <t>НPL панели (RAL 809, 694) t=8мм</t>
  </si>
  <si>
    <t>Профиль оконный примыкающий со стеклосеткой (Тех-Проф, 2,4м)</t>
  </si>
  <si>
    <t>Профиль с капельником (Тех-Проф, 2,5м)</t>
  </si>
  <si>
    <t>Уголок ПВХ с стеклосеткой 100х150мм (2,5м)</t>
  </si>
  <si>
    <t>719шт</t>
  </si>
  <si>
    <t xml:space="preserve">Дюбель KOELNER KI-220N </t>
  </si>
  <si>
    <t xml:space="preserve">Дюбель </t>
  </si>
  <si>
    <t>Дюбель</t>
  </si>
  <si>
    <t>Декоративная штукатурка Капарол К20 (структурная, зернистая) цвет Basalt 18</t>
  </si>
  <si>
    <t>Декоративная штукатурка Капарол К20 (структурная, зернистая) цвет Basalt 12</t>
  </si>
  <si>
    <t>Декоративная штукатурка Капарол К20 (структурная, зернистая) цвет Schiefer 0</t>
  </si>
  <si>
    <t>Устройство НВФ с облицовкой кассеты алюминиевые (отделка угловых лоджий)</t>
  </si>
  <si>
    <t xml:space="preserve">Дюбель KOELNER KI-260N </t>
  </si>
  <si>
    <t>Устройство НВФ с облицовкой кассеты алюминиевые (наружные стены на подсистеме)</t>
  </si>
  <si>
    <t>Устройство НВФ с облицовкой кассеты алюминиевые (отделка лоджий)</t>
  </si>
  <si>
    <t>Устройство НВФ с облицовкой кассеты алюминиевые (Входная группа со двора)</t>
  </si>
  <si>
    <t>Утепленные потолки НВФ облицовка алюминиевыми кассетами (потолок лоджий)</t>
  </si>
  <si>
    <t>Декорирование (декоративная штукатурка окрашена в рал)</t>
  </si>
  <si>
    <t>Устройство армирующего слоя</t>
  </si>
  <si>
    <t xml:space="preserve">Устройство армирующего слоя </t>
  </si>
  <si>
    <t>Грунтование</t>
  </si>
  <si>
    <t>Плита минераловатная Эковер "Экофасад" 130 мм</t>
  </si>
  <si>
    <t xml:space="preserve">Плита минераловатная Эковер "Экофасад" 100 мм </t>
  </si>
  <si>
    <t xml:space="preserve">Плита минераловатная Эковер "Экофасад" 150 мм </t>
  </si>
  <si>
    <t xml:space="preserve">Плита минераловатная Эковер "Экофасад" 130 мм </t>
  </si>
  <si>
    <t>Монтаж подконструкции</t>
  </si>
  <si>
    <t xml:space="preserve">Монтаж кассет алюминиевых Sevalcon </t>
  </si>
  <si>
    <t>Монтаж теплоизоляционной плиты</t>
  </si>
  <si>
    <r>
      <t xml:space="preserve">Плита минераловатная Эковер Вент фасад </t>
    </r>
    <r>
      <rPr>
        <sz val="10"/>
        <rFont val="Verdana"/>
        <family val="2"/>
        <charset val="204"/>
      </rPr>
      <t>130 мм</t>
    </r>
  </si>
  <si>
    <t xml:space="preserve">Монтаж подконструкции </t>
  </si>
  <si>
    <r>
      <t>Плита минераловатная Эковер Вент фасад</t>
    </r>
    <r>
      <rPr>
        <sz val="10"/>
        <rFont val="Verdana"/>
        <family val="2"/>
        <charset val="204"/>
      </rPr>
      <t xml:space="preserve"> 150 мм</t>
    </r>
  </si>
  <si>
    <r>
      <t xml:space="preserve">Плита минераловатная Эковер Вент фасад </t>
    </r>
    <r>
      <rPr>
        <sz val="10"/>
        <rFont val="Verdana"/>
        <family val="2"/>
        <charset val="204"/>
      </rPr>
      <t>150 мм</t>
    </r>
  </si>
  <si>
    <r>
      <t xml:space="preserve">Плита минераловатная Эковер Вент фасад </t>
    </r>
    <r>
      <rPr>
        <sz val="10"/>
        <rFont val="Verdana"/>
        <family val="2"/>
        <charset val="204"/>
      </rPr>
      <t>200 мм</t>
    </r>
  </si>
  <si>
    <r>
      <t>Плита минераловатная Эковер Вент фасад</t>
    </r>
    <r>
      <rPr>
        <b/>
        <i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200 мм</t>
    </r>
  </si>
  <si>
    <r>
      <t xml:space="preserve">Плита минераловатная Эковер Вент-фасад </t>
    </r>
    <r>
      <rPr>
        <sz val="10"/>
        <rFont val="Verdana"/>
        <family val="2"/>
        <charset val="204"/>
      </rPr>
      <t>150 мм</t>
    </r>
  </si>
  <si>
    <t xml:space="preserve">Монтаж кассет </t>
  </si>
  <si>
    <t>Монтаж кассет алюминиевых Sevalcon</t>
  </si>
  <si>
    <t xml:space="preserve">Устройство НВФ облицовка HPL панелями </t>
  </si>
  <si>
    <t xml:space="preserve">Монтаж HPL панелей </t>
  </si>
  <si>
    <t>Примечание: 1.в расчетах армируюещего слоя не учтены профили на углах фасадов.
2. учесть правильную длину дюбелей для утеплителя толщиной более 250.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</si>
</sst>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#,##0.00_ ;\-#,##0.00\ "/>
    <numFmt numFmtId="166" formatCode="_-* #,##0.00_р_._-;\-* #,##0.00_р_._-;_-* &quot;-&quot;??_р_._-;_-@_-"/>
    <numFmt numFmtId="167" formatCode="_(* #,##0.000_);_(* \(#,##0.000\);_(* &quot;-&quot;??_);_(@_)"/>
    <numFmt numFmtId="168" formatCode="_(* #,##0_);_(* \(#,##0\);_(* &quot;-&quot;??_);_(@_)"/>
    <numFmt numFmtId="169" formatCode="_-* #,##0.00&quot;р.&quot;_-;\-* #,##0.00&quot;р.&quot;_-;_-* &quot;-&quot;??&quot;р.&quot;_-;_-@_-"/>
    <numFmt numFmtId="170" formatCode="#,##0.0000"/>
    <numFmt numFmtId="171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9"/>
      <name val="Arial Cyr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ACA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465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3B24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</borders>
  <cellStyleXfs count="12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6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49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right" vertical="center"/>
    </xf>
    <xf numFmtId="4" fontId="4" fillId="0" borderId="0" xfId="0" applyNumberFormat="1" applyFont="1"/>
    <xf numFmtId="4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4" fontId="4" fillId="0" borderId="0" xfId="1" applyNumberFormat="1" applyFont="1" applyAlignment="1">
      <alignment horizontal="right" vertical="center"/>
    </xf>
    <xf numFmtId="49" fontId="8" fillId="2" borderId="3" xfId="3" applyNumberFormat="1" applyFont="1" applyFill="1" applyBorder="1" applyAlignment="1">
      <alignment horizontal="center" vertical="center" wrapText="1"/>
    </xf>
    <xf numFmtId="167" fontId="8" fillId="2" borderId="3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 vertical="center"/>
    </xf>
    <xf numFmtId="0" fontId="8" fillId="2" borderId="6" xfId="3" applyFont="1" applyFill="1" applyBorder="1" applyAlignment="1">
      <alignment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vertical="center"/>
    </xf>
    <xf numFmtId="4" fontId="8" fillId="2" borderId="4" xfId="4" applyNumberFormat="1" applyFont="1" applyFill="1" applyBorder="1" applyAlignment="1">
      <alignment horizontal="center" vertical="center"/>
    </xf>
    <xf numFmtId="166" fontId="8" fillId="2" borderId="4" xfId="4" applyFont="1" applyFill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/>
    </xf>
    <xf numFmtId="2" fontId="6" fillId="3" borderId="5" xfId="3" applyNumberFormat="1" applyFont="1" applyFill="1" applyBorder="1" applyAlignment="1">
      <alignment horizontal="left" vertical="center" wrapText="1"/>
    </xf>
    <xf numFmtId="167" fontId="6" fillId="3" borderId="3" xfId="4" applyNumberFormat="1" applyFont="1" applyFill="1" applyBorder="1" applyAlignment="1">
      <alignment horizontal="center" vertical="center"/>
    </xf>
    <xf numFmtId="166" fontId="6" fillId="3" borderId="3" xfId="4" applyFont="1" applyFill="1" applyBorder="1" applyAlignment="1">
      <alignment horizontal="center" vertical="center"/>
    </xf>
    <xf numFmtId="4" fontId="6" fillId="3" borderId="3" xfId="4" applyNumberFormat="1" applyFont="1" applyFill="1" applyBorder="1" applyAlignment="1">
      <alignment horizontal="center" vertical="center"/>
    </xf>
    <xf numFmtId="166" fontId="4" fillId="3" borderId="4" xfId="4" applyFont="1" applyFill="1" applyBorder="1" applyAlignment="1">
      <alignment horizontal="center" vertical="center"/>
    </xf>
    <xf numFmtId="49" fontId="7" fillId="3" borderId="4" xfId="3" applyNumberFormat="1" applyFont="1" applyFill="1" applyBorder="1" applyAlignment="1">
      <alignment horizontal="center" vertical="center"/>
    </xf>
    <xf numFmtId="167" fontId="6" fillId="3" borderId="6" xfId="4" applyNumberFormat="1" applyFont="1" applyFill="1" applyBorder="1" applyAlignment="1">
      <alignment horizontal="center" vertical="center"/>
    </xf>
    <xf numFmtId="166" fontId="6" fillId="3" borderId="6" xfId="4" applyFont="1" applyFill="1" applyBorder="1" applyAlignment="1">
      <alignment horizontal="center" vertical="center"/>
    </xf>
    <xf numFmtId="4" fontId="6" fillId="3" borderId="4" xfId="4" applyNumberFormat="1" applyFont="1" applyFill="1" applyBorder="1" applyAlignment="1">
      <alignment horizontal="center" vertical="center"/>
    </xf>
    <xf numFmtId="166" fontId="6" fillId="3" borderId="4" xfId="4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0" fontId="8" fillId="4" borderId="6" xfId="3" applyFont="1" applyFill="1" applyBorder="1" applyAlignment="1">
      <alignment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vertical="center"/>
    </xf>
    <xf numFmtId="4" fontId="8" fillId="4" borderId="4" xfId="4" applyNumberFormat="1" applyFont="1" applyFill="1" applyBorder="1" applyAlignment="1">
      <alignment horizontal="center" vertical="center"/>
    </xf>
    <xf numFmtId="166" fontId="8" fillId="4" borderId="4" xfId="4" applyFont="1" applyFill="1" applyBorder="1" applyAlignment="1">
      <alignment horizontal="center" vertical="center"/>
    </xf>
    <xf numFmtId="49" fontId="7" fillId="5" borderId="3" xfId="3" applyNumberFormat="1" applyFont="1" applyFill="1" applyBorder="1" applyAlignment="1">
      <alignment horizontal="center" vertical="center"/>
    </xf>
    <xf numFmtId="49" fontId="5" fillId="5" borderId="4" xfId="5" applyNumberFormat="1" applyFont="1" applyFill="1" applyBorder="1" applyAlignment="1">
      <alignment vertical="center"/>
    </xf>
    <xf numFmtId="49" fontId="5" fillId="5" borderId="5" xfId="5" applyNumberFormat="1" applyFont="1" applyFill="1" applyBorder="1" applyAlignment="1">
      <alignment vertical="center"/>
    </xf>
    <xf numFmtId="168" fontId="5" fillId="5" borderId="3" xfId="4" applyNumberFormat="1" applyFont="1" applyFill="1" applyBorder="1" applyAlignment="1">
      <alignment horizontal="center" vertical="center"/>
    </xf>
    <xf numFmtId="166" fontId="5" fillId="5" borderId="3" xfId="4" applyFont="1" applyFill="1" applyBorder="1" applyAlignment="1">
      <alignment horizontal="center" vertical="center"/>
    </xf>
    <xf numFmtId="4" fontId="5" fillId="5" borderId="3" xfId="4" applyNumberFormat="1" applyFont="1" applyFill="1" applyBorder="1" applyAlignment="1">
      <alignment horizontal="center" vertical="center"/>
    </xf>
    <xf numFmtId="2" fontId="4" fillId="3" borderId="4" xfId="3" applyNumberFormat="1" applyFont="1" applyFill="1" applyBorder="1" applyAlignment="1">
      <alignment horizontal="left" vertical="center"/>
    </xf>
    <xf numFmtId="2" fontId="4" fillId="3" borderId="4" xfId="3" applyNumberFormat="1" applyFont="1" applyFill="1" applyBorder="1" applyAlignment="1">
      <alignment horizontal="left" vertical="center" wrapText="1"/>
    </xf>
    <xf numFmtId="166" fontId="6" fillId="3" borderId="3" xfId="4" applyFont="1" applyFill="1" applyBorder="1" applyAlignment="1">
      <alignment horizontal="left" vertical="center"/>
    </xf>
    <xf numFmtId="2" fontId="4" fillId="3" borderId="4" xfId="3" applyNumberFormat="1" applyFont="1" applyFill="1" applyBorder="1" applyAlignment="1">
      <alignment vertical="center" wrapText="1"/>
    </xf>
    <xf numFmtId="4" fontId="6" fillId="3" borderId="6" xfId="4" applyNumberFormat="1" applyFont="1" applyFill="1" applyBorder="1" applyAlignment="1">
      <alignment horizontal="center" vertical="center"/>
    </xf>
    <xf numFmtId="166" fontId="6" fillId="3" borderId="5" xfId="4" applyFont="1" applyFill="1" applyBorder="1" applyAlignment="1">
      <alignment horizontal="center" vertical="center"/>
    </xf>
    <xf numFmtId="2" fontId="6" fillId="3" borderId="4" xfId="3" applyNumberFormat="1" applyFont="1" applyFill="1" applyBorder="1" applyAlignment="1">
      <alignment vertical="center" wrapText="1"/>
    </xf>
    <xf numFmtId="49" fontId="7" fillId="5" borderId="7" xfId="3" applyNumberFormat="1" applyFont="1" applyFill="1" applyBorder="1" applyAlignment="1">
      <alignment horizontal="center" vertical="center"/>
    </xf>
    <xf numFmtId="168" fontId="5" fillId="5" borderId="7" xfId="4" applyNumberFormat="1" applyFont="1" applyFill="1" applyBorder="1" applyAlignment="1">
      <alignment horizontal="center" vertical="center"/>
    </xf>
    <xf numFmtId="166" fontId="5" fillId="5" borderId="7" xfId="4" applyFont="1" applyFill="1" applyBorder="1" applyAlignment="1">
      <alignment horizontal="center" vertical="center"/>
    </xf>
    <xf numFmtId="4" fontId="5" fillId="5" borderId="7" xfId="4" applyNumberFormat="1" applyFont="1" applyFill="1" applyBorder="1" applyAlignment="1">
      <alignment horizontal="center" vertical="center"/>
    </xf>
    <xf numFmtId="166" fontId="7" fillId="5" borderId="8" xfId="4" applyFont="1" applyFill="1" applyBorder="1" applyAlignment="1">
      <alignment horizontal="center" vertical="center"/>
    </xf>
    <xf numFmtId="49" fontId="10" fillId="6" borderId="3" xfId="3" applyNumberFormat="1" applyFont="1" applyFill="1" applyBorder="1" applyAlignment="1">
      <alignment horizontal="center" vertical="center"/>
    </xf>
    <xf numFmtId="2" fontId="10" fillId="6" borderId="4" xfId="3" applyNumberFormat="1" applyFont="1" applyFill="1" applyBorder="1" applyAlignment="1">
      <alignment horizontal="left" vertical="center"/>
    </xf>
    <xf numFmtId="2" fontId="5" fillId="6" borderId="6" xfId="3" applyNumberFormat="1" applyFont="1" applyFill="1" applyBorder="1" applyAlignment="1">
      <alignment vertical="center"/>
    </xf>
    <xf numFmtId="4" fontId="5" fillId="6" borderId="6" xfId="3" applyNumberFormat="1" applyFont="1" applyFill="1" applyBorder="1" applyAlignment="1">
      <alignment vertical="center"/>
    </xf>
    <xf numFmtId="2" fontId="5" fillId="6" borderId="5" xfId="3" applyNumberFormat="1" applyFont="1" applyFill="1" applyBorder="1" applyAlignment="1">
      <alignment vertical="center"/>
    </xf>
    <xf numFmtId="4" fontId="10" fillId="6" borderId="4" xfId="7" applyNumberFormat="1" applyFont="1" applyFill="1" applyBorder="1" applyAlignment="1">
      <alignment horizontal="right" vertical="center"/>
    </xf>
    <xf numFmtId="2" fontId="12" fillId="6" borderId="4" xfId="3" applyNumberFormat="1" applyFont="1" applyFill="1" applyBorder="1" applyAlignment="1">
      <alignment horizontal="left" vertical="center"/>
    </xf>
    <xf numFmtId="2" fontId="6" fillId="6" borderId="6" xfId="3" applyNumberFormat="1" applyFont="1" applyFill="1" applyBorder="1" applyAlignment="1">
      <alignment vertical="center"/>
    </xf>
    <xf numFmtId="4" fontId="6" fillId="6" borderId="6" xfId="3" applyNumberFormat="1" applyFont="1" applyFill="1" applyBorder="1" applyAlignment="1">
      <alignment vertical="center"/>
    </xf>
    <xf numFmtId="2" fontId="6" fillId="6" borderId="5" xfId="3" applyNumberFormat="1" applyFont="1" applyFill="1" applyBorder="1" applyAlignment="1">
      <alignment vertical="center"/>
    </xf>
    <xf numFmtId="4" fontId="12" fillId="6" borderId="4" xfId="7" applyNumberFormat="1" applyFont="1" applyFill="1" applyBorder="1" applyAlignment="1">
      <alignment horizontal="right" vertical="center"/>
    </xf>
    <xf numFmtId="49" fontId="10" fillId="6" borderId="7" xfId="3" applyNumberFormat="1" applyFont="1" applyFill="1" applyBorder="1" applyAlignment="1">
      <alignment horizontal="center" vertical="center"/>
    </xf>
    <xf numFmtId="2" fontId="12" fillId="6" borderId="8" xfId="3" applyNumberFormat="1" applyFont="1" applyFill="1" applyBorder="1" applyAlignment="1">
      <alignment horizontal="left" vertical="center"/>
    </xf>
    <xf numFmtId="2" fontId="6" fillId="6" borderId="10" xfId="3" applyNumberFormat="1" applyFont="1" applyFill="1" applyBorder="1" applyAlignment="1">
      <alignment vertical="center"/>
    </xf>
    <xf numFmtId="4" fontId="6" fillId="6" borderId="10" xfId="3" applyNumberFormat="1" applyFont="1" applyFill="1" applyBorder="1" applyAlignment="1">
      <alignment vertical="center"/>
    </xf>
    <xf numFmtId="4" fontId="12" fillId="6" borderId="8" xfId="7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166" fontId="6" fillId="0" borderId="0" xfId="2" applyNumberFormat="1" applyFont="1" applyFill="1" applyAlignment="1">
      <alignment horizontal="left" vertical="center"/>
    </xf>
    <xf numFmtId="49" fontId="6" fillId="3" borderId="6" xfId="4" applyNumberFormat="1" applyFont="1" applyFill="1" applyBorder="1" applyAlignment="1">
      <alignment horizontal="center" vertical="center"/>
    </xf>
    <xf numFmtId="170" fontId="6" fillId="3" borderId="6" xfId="4" applyNumberFormat="1" applyFont="1" applyFill="1" applyBorder="1" applyAlignment="1">
      <alignment horizontal="center" vertical="center"/>
    </xf>
    <xf numFmtId="10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vertical="center"/>
    </xf>
    <xf numFmtId="166" fontId="6" fillId="0" borderId="0" xfId="2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0" applyFont="1" applyAlignment="1">
      <alignment wrapText="1"/>
    </xf>
    <xf numFmtId="171" fontId="6" fillId="3" borderId="6" xfId="4" applyNumberFormat="1" applyFont="1" applyFill="1" applyBorder="1" applyAlignment="1">
      <alignment horizontal="center" vertical="center"/>
    </xf>
    <xf numFmtId="167" fontId="6" fillId="3" borderId="6" xfId="4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49" fontId="7" fillId="5" borderId="8" xfId="3" applyNumberFormat="1" applyFont="1" applyFill="1" applyBorder="1" applyAlignment="1">
      <alignment horizontal="left" vertical="center"/>
    </xf>
    <xf numFmtId="49" fontId="7" fillId="5" borderId="9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</cellXfs>
  <cellStyles count="12">
    <cellStyle name="Денежный 2 4" xfId="7" xr:uid="{00000000-0005-0000-0000-000000000000}"/>
    <cellStyle name="Обычный" xfId="0" builtinId="0"/>
    <cellStyle name="Обычный 2" xfId="1" xr:uid="{00000000-0005-0000-0000-000002000000}"/>
    <cellStyle name="Обычный 2 2" xfId="10" xr:uid="{4E04E0A8-DF88-4175-AE84-DE2CAF60988A}"/>
    <cellStyle name="Обычный 2 2 2" xfId="3" xr:uid="{00000000-0005-0000-0000-000003000000}"/>
    <cellStyle name="Обычный 3" xfId="5" xr:uid="{00000000-0005-0000-0000-000004000000}"/>
    <cellStyle name="Обычный 4" xfId="8" xr:uid="{00000000-0005-0000-0000-000005000000}"/>
    <cellStyle name="Обычный 5" xfId="9" xr:uid="{3D880EEF-EDD2-446B-8B0A-851274DF1372}"/>
    <cellStyle name="Финансовый 2" xfId="2" xr:uid="{00000000-0005-0000-0000-000006000000}"/>
    <cellStyle name="Финансовый 3" xfId="6" xr:uid="{00000000-0005-0000-0000-000007000000}"/>
    <cellStyle name="Финансовый 4" xfId="11" xr:uid="{C22ADAF0-F53E-4087-ADA0-BF3D5DF99815}"/>
    <cellStyle name="Финансовый 5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08CD-D0B1-4C62-96B9-F988389A55A4}">
  <dimension ref="A1:AA425"/>
  <sheetViews>
    <sheetView tabSelected="1" topLeftCell="B1" zoomScale="85" zoomScaleNormal="85" workbookViewId="0">
      <selection activeCell="J8" sqref="J8"/>
    </sheetView>
  </sheetViews>
  <sheetFormatPr defaultRowHeight="15" x14ac:dyDescent="0.25"/>
  <cols>
    <col min="2" max="2" width="21.28515625" customWidth="1"/>
    <col min="3" max="3" width="52.28515625" customWidth="1"/>
    <col min="6" max="6" width="10.5703125" bestFit="1" customWidth="1"/>
    <col min="7" max="7" width="13.28515625" bestFit="1" customWidth="1"/>
    <col min="8" max="8" width="21" bestFit="1" customWidth="1"/>
  </cols>
  <sheetData>
    <row r="1" spans="1:27" x14ac:dyDescent="0.25">
      <c r="A1" s="75"/>
      <c r="B1" s="1"/>
      <c r="C1" s="1"/>
      <c r="D1" s="1"/>
      <c r="E1" s="1"/>
      <c r="F1" s="10"/>
      <c r="G1" s="1"/>
      <c r="H1" s="1"/>
    </row>
    <row r="2" spans="1:27" x14ac:dyDescent="0.25">
      <c r="A2" s="89" t="s">
        <v>98</v>
      </c>
      <c r="B2" s="90"/>
      <c r="C2" s="90"/>
      <c r="D2" s="90"/>
      <c r="E2" s="90"/>
      <c r="F2" s="90"/>
      <c r="G2" s="90"/>
      <c r="H2" s="90"/>
    </row>
    <row r="3" spans="1:27" x14ac:dyDescent="0.25">
      <c r="A3" s="91" t="s">
        <v>97</v>
      </c>
      <c r="B3" s="91"/>
      <c r="C3" s="91"/>
      <c r="D3" s="91"/>
      <c r="E3" s="91"/>
      <c r="F3" s="91"/>
      <c r="G3" s="91"/>
      <c r="H3" s="91"/>
      <c r="J3" s="86" t="s">
        <v>191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x14ac:dyDescent="0.25">
      <c r="A4" s="2"/>
      <c r="B4" s="3"/>
      <c r="C4" s="3"/>
      <c r="D4" s="3"/>
      <c r="E4" s="3"/>
      <c r="F4" s="4"/>
      <c r="G4" s="3"/>
      <c r="H4" s="3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x14ac:dyDescent="0.25">
      <c r="A5" s="2"/>
      <c r="B5" s="5" t="s">
        <v>0</v>
      </c>
      <c r="C5" s="92" t="s">
        <v>80</v>
      </c>
      <c r="D5" s="92"/>
      <c r="E5" s="92"/>
      <c r="F5" s="92"/>
      <c r="G5" s="92"/>
      <c r="H5" s="92"/>
    </row>
    <row r="6" spans="1:27" x14ac:dyDescent="0.25">
      <c r="A6" s="2"/>
      <c r="B6" s="3"/>
      <c r="C6" s="3"/>
      <c r="D6" s="3"/>
      <c r="E6" s="3"/>
      <c r="F6" s="6" t="s">
        <v>1</v>
      </c>
      <c r="G6" s="7" t="s">
        <v>2</v>
      </c>
      <c r="H6" s="8">
        <f>H16</f>
        <v>24215285.286676604</v>
      </c>
    </row>
    <row r="7" spans="1:27" x14ac:dyDescent="0.25">
      <c r="A7" s="2"/>
      <c r="B7" s="3"/>
      <c r="C7" s="3"/>
      <c r="D7" s="3"/>
      <c r="E7" s="3"/>
      <c r="F7" s="9" t="s">
        <v>3</v>
      </c>
      <c r="G7" s="79">
        <v>0</v>
      </c>
      <c r="H7" s="80">
        <v>0</v>
      </c>
    </row>
    <row r="8" spans="1:27" x14ac:dyDescent="0.25">
      <c r="A8" s="2"/>
      <c r="B8" s="3"/>
      <c r="C8" s="3"/>
      <c r="D8" s="3"/>
      <c r="E8" s="3"/>
      <c r="F8" s="9" t="s">
        <v>4</v>
      </c>
      <c r="G8" s="3"/>
      <c r="H8" s="3"/>
    </row>
    <row r="9" spans="1:27" x14ac:dyDescent="0.25">
      <c r="A9" s="2"/>
      <c r="B9" s="3"/>
      <c r="C9" s="3"/>
      <c r="D9" s="3"/>
      <c r="E9" s="3"/>
      <c r="F9" s="11" t="s">
        <v>5</v>
      </c>
      <c r="G9" s="3"/>
      <c r="H9" s="3"/>
    </row>
    <row r="10" spans="1:27" x14ac:dyDescent="0.25">
      <c r="A10" s="2"/>
      <c r="B10" s="3"/>
      <c r="C10" s="3"/>
      <c r="D10" s="3"/>
      <c r="E10" s="3"/>
      <c r="F10" s="11" t="s">
        <v>6</v>
      </c>
      <c r="G10" s="3"/>
      <c r="H10" s="3"/>
    </row>
    <row r="11" spans="1:27" x14ac:dyDescent="0.25">
      <c r="A11" s="2"/>
      <c r="B11" s="3"/>
      <c r="C11" s="3"/>
      <c r="D11" s="3"/>
      <c r="E11" s="12"/>
      <c r="F11" s="11" t="s">
        <v>7</v>
      </c>
      <c r="G11" s="3" t="s">
        <v>8</v>
      </c>
      <c r="H11" s="3"/>
    </row>
    <row r="12" spans="1:27" x14ac:dyDescent="0.25">
      <c r="A12" s="2"/>
      <c r="B12" s="3"/>
      <c r="C12" s="3"/>
      <c r="D12" s="3"/>
      <c r="E12" s="12"/>
      <c r="F12" s="11" t="s">
        <v>9</v>
      </c>
      <c r="G12" s="3" t="s">
        <v>99</v>
      </c>
      <c r="H12" s="3"/>
    </row>
    <row r="13" spans="1:27" x14ac:dyDescent="0.25">
      <c r="A13" s="2"/>
      <c r="B13" s="3"/>
      <c r="C13" s="3"/>
      <c r="D13" s="3"/>
      <c r="E13" s="12"/>
      <c r="F13" s="13" t="s">
        <v>10</v>
      </c>
      <c r="G13" s="81"/>
      <c r="H13" s="82"/>
    </row>
    <row r="14" spans="1:27" x14ac:dyDescent="0.25">
      <c r="A14" s="2"/>
      <c r="B14" s="3"/>
      <c r="C14" s="3"/>
      <c r="D14" s="3"/>
      <c r="E14" s="12"/>
      <c r="F14" s="13"/>
      <c r="G14" s="76"/>
      <c r="H14" s="3"/>
    </row>
    <row r="15" spans="1:27" ht="38.25" x14ac:dyDescent="0.25">
      <c r="A15" s="14" t="s">
        <v>11</v>
      </c>
      <c r="B15" s="93" t="s">
        <v>12</v>
      </c>
      <c r="C15" s="94"/>
      <c r="D15" s="16" t="s">
        <v>13</v>
      </c>
      <c r="E15" s="16" t="s">
        <v>100</v>
      </c>
      <c r="F15" s="16" t="s">
        <v>14</v>
      </c>
      <c r="G15" s="15" t="s">
        <v>15</v>
      </c>
      <c r="H15" s="17" t="s">
        <v>16</v>
      </c>
    </row>
    <row r="16" spans="1:27" x14ac:dyDescent="0.25">
      <c r="A16" s="18"/>
      <c r="B16" s="19"/>
      <c r="C16" s="19"/>
      <c r="D16" s="20"/>
      <c r="E16" s="21"/>
      <c r="F16" s="22"/>
      <c r="G16" s="23"/>
      <c r="H16" s="23">
        <f>H17+H18</f>
        <v>24215285.286676604</v>
      </c>
    </row>
    <row r="17" spans="1:8" x14ac:dyDescent="0.25">
      <c r="A17" s="24"/>
      <c r="B17" s="50" t="s">
        <v>17</v>
      </c>
      <c r="C17" s="25"/>
      <c r="D17" s="26"/>
      <c r="E17" s="27"/>
      <c r="F17" s="28"/>
      <c r="G17" s="27"/>
      <c r="H17" s="29">
        <f>H424</f>
        <v>0</v>
      </c>
    </row>
    <row r="18" spans="1:8" x14ac:dyDescent="0.25">
      <c r="A18" s="24"/>
      <c r="B18" s="50" t="s">
        <v>18</v>
      </c>
      <c r="C18" s="25"/>
      <c r="D18" s="26"/>
      <c r="E18" s="27"/>
      <c r="F18" s="28"/>
      <c r="G18" s="27"/>
      <c r="H18" s="29">
        <f>H425</f>
        <v>24215285.286676604</v>
      </c>
    </row>
    <row r="19" spans="1:8" x14ac:dyDescent="0.25">
      <c r="A19" s="35">
        <v>1</v>
      </c>
      <c r="B19" s="36" t="s">
        <v>84</v>
      </c>
      <c r="C19" s="36"/>
      <c r="D19" s="37"/>
      <c r="E19" s="38"/>
      <c r="F19" s="39"/>
      <c r="G19" s="40"/>
      <c r="H19" s="40">
        <f>H20+H28+H37</f>
        <v>4633515.24</v>
      </c>
    </row>
    <row r="20" spans="1:8" x14ac:dyDescent="0.25">
      <c r="A20" s="41" t="s">
        <v>19</v>
      </c>
      <c r="B20" s="42" t="s">
        <v>86</v>
      </c>
      <c r="C20" s="43"/>
      <c r="D20" s="44"/>
      <c r="E20" s="45" t="s">
        <v>20</v>
      </c>
      <c r="F20" s="46">
        <v>7225.7</v>
      </c>
      <c r="G20" s="46">
        <f>ROUND((H21+H22)/F20,2)</f>
        <v>122.31</v>
      </c>
      <c r="H20" s="58">
        <f>ROUND(G20*F20,2)</f>
        <v>883775.37</v>
      </c>
    </row>
    <row r="21" spans="1:8" x14ac:dyDescent="0.25">
      <c r="A21" s="24"/>
      <c r="B21" s="47" t="s">
        <v>21</v>
      </c>
      <c r="C21" s="25"/>
      <c r="D21" s="26"/>
      <c r="E21" s="27" t="s">
        <v>20</v>
      </c>
      <c r="F21" s="28">
        <f>F20</f>
        <v>7225.7</v>
      </c>
      <c r="G21" s="27"/>
      <c r="H21" s="29">
        <f>G21*F21</f>
        <v>0</v>
      </c>
    </row>
    <row r="22" spans="1:8" x14ac:dyDescent="0.25">
      <c r="A22" s="24"/>
      <c r="B22" s="48" t="s">
        <v>22</v>
      </c>
      <c r="C22" s="25"/>
      <c r="D22" s="26"/>
      <c r="E22" s="49"/>
      <c r="F22" s="28"/>
      <c r="G22" s="27">
        <f>H22/F20</f>
        <v>122.3125</v>
      </c>
      <c r="H22" s="29">
        <f>SUM(H23:H27)</f>
        <v>883793.43125000002</v>
      </c>
    </row>
    <row r="23" spans="1:8" ht="25.5" x14ac:dyDescent="0.25">
      <c r="A23" s="24"/>
      <c r="B23" s="50"/>
      <c r="C23" s="50" t="s">
        <v>23</v>
      </c>
      <c r="D23" s="31">
        <v>0.15</v>
      </c>
      <c r="E23" s="32" t="s">
        <v>24</v>
      </c>
      <c r="F23" s="51">
        <f>(D23*F20)</f>
        <v>1083.855</v>
      </c>
      <c r="G23" s="52"/>
      <c r="H23" s="29">
        <f>G23*F23</f>
        <v>0</v>
      </c>
    </row>
    <row r="24" spans="1:8" x14ac:dyDescent="0.25">
      <c r="A24" s="24"/>
      <c r="B24" s="50"/>
      <c r="C24" s="53" t="s">
        <v>175</v>
      </c>
      <c r="D24" s="84">
        <f>0.15*1.05</f>
        <v>0.1575</v>
      </c>
      <c r="E24" s="32" t="s">
        <v>25</v>
      </c>
      <c r="F24" s="51">
        <f>D24*F20</f>
        <v>1138.04775</v>
      </c>
      <c r="G24" s="52"/>
      <c r="H24" s="29">
        <f>G24*F24</f>
        <v>0</v>
      </c>
    </row>
    <row r="25" spans="1:8" x14ac:dyDescent="0.25">
      <c r="A25" s="24"/>
      <c r="B25" s="50"/>
      <c r="C25" s="50" t="s">
        <v>26</v>
      </c>
      <c r="D25" s="31">
        <v>6</v>
      </c>
      <c r="E25" s="32" t="s">
        <v>27</v>
      </c>
      <c r="F25" s="51">
        <f>(D25*F20)</f>
        <v>43354.2</v>
      </c>
      <c r="G25" s="52">
        <f>260/25</f>
        <v>10.4</v>
      </c>
      <c r="H25" s="29">
        <f>G25*F25</f>
        <v>450883.68</v>
      </c>
    </row>
    <row r="26" spans="1:8" x14ac:dyDescent="0.25">
      <c r="A26" s="24"/>
      <c r="B26" s="50"/>
      <c r="C26" s="50" t="s">
        <v>157</v>
      </c>
      <c r="D26" s="31">
        <v>7</v>
      </c>
      <c r="E26" s="32" t="s">
        <v>28</v>
      </c>
      <c r="F26" s="51">
        <f>D26*F20</f>
        <v>50579.9</v>
      </c>
      <c r="G26" s="52">
        <v>8.0500000000000007</v>
      </c>
      <c r="H26" s="29">
        <f>G26*F26</f>
        <v>407168.19500000007</v>
      </c>
    </row>
    <row r="27" spans="1:8" x14ac:dyDescent="0.25">
      <c r="A27" s="30"/>
      <c r="B27" s="50"/>
      <c r="C27" s="50" t="s">
        <v>81</v>
      </c>
      <c r="D27" s="77" t="s">
        <v>82</v>
      </c>
      <c r="E27" s="32"/>
      <c r="F27" s="33"/>
      <c r="G27" s="34"/>
      <c r="H27" s="29">
        <f>SUM(H23:H26)*0.03</f>
        <v>25741.556249999998</v>
      </c>
    </row>
    <row r="28" spans="1:8" x14ac:dyDescent="0.25">
      <c r="A28" s="41" t="s">
        <v>29</v>
      </c>
      <c r="B28" s="42" t="s">
        <v>170</v>
      </c>
      <c r="C28" s="43"/>
      <c r="D28" s="44"/>
      <c r="E28" s="45" t="s">
        <v>20</v>
      </c>
      <c r="F28" s="46">
        <f>F20+785.1175</f>
        <v>8010.8175000000001</v>
      </c>
      <c r="G28" s="46">
        <f>ROUND((H29+H30)/F28,2)</f>
        <v>169.91</v>
      </c>
      <c r="H28" s="58">
        <f>ROUND(G28*F28,2)</f>
        <v>1361118</v>
      </c>
    </row>
    <row r="29" spans="1:8" x14ac:dyDescent="0.25">
      <c r="A29" s="24"/>
      <c r="B29" s="47" t="s">
        <v>21</v>
      </c>
      <c r="C29" s="25"/>
      <c r="D29" s="26"/>
      <c r="E29" s="27" t="s">
        <v>20</v>
      </c>
      <c r="F29" s="28">
        <f>F28</f>
        <v>8010.8175000000001</v>
      </c>
      <c r="G29" s="27"/>
      <c r="H29" s="29">
        <f>G29*F29</f>
        <v>0</v>
      </c>
    </row>
    <row r="30" spans="1:8" x14ac:dyDescent="0.25">
      <c r="A30" s="24"/>
      <c r="B30" s="48" t="s">
        <v>22</v>
      </c>
      <c r="C30" s="25"/>
      <c r="D30" s="26"/>
      <c r="E30" s="49"/>
      <c r="F30" s="28"/>
      <c r="G30" s="27">
        <f>H30/F28</f>
        <v>169.91165256422642</v>
      </c>
      <c r="H30" s="29">
        <f>SUM(H31:H36)</f>
        <v>1361131.2398154249</v>
      </c>
    </row>
    <row r="31" spans="1:8" x14ac:dyDescent="0.25">
      <c r="A31" s="24"/>
      <c r="B31" s="50"/>
      <c r="C31" s="53" t="s">
        <v>30</v>
      </c>
      <c r="D31" s="31">
        <v>5.5</v>
      </c>
      <c r="E31" s="32" t="s">
        <v>27</v>
      </c>
      <c r="F31" s="51">
        <f>(D31*F28)</f>
        <v>44059.496250000004</v>
      </c>
      <c r="G31" s="52">
        <f>360/25</f>
        <v>14.4</v>
      </c>
      <c r="H31" s="29">
        <f>G31*F31</f>
        <v>634456.74600000004</v>
      </c>
    </row>
    <row r="32" spans="1:8" ht="25.5" x14ac:dyDescent="0.25">
      <c r="A32" s="24"/>
      <c r="B32" s="50"/>
      <c r="C32" s="50" t="s">
        <v>31</v>
      </c>
      <c r="D32" s="31">
        <v>1.1499999999999999</v>
      </c>
      <c r="E32" s="32" t="s">
        <v>20</v>
      </c>
      <c r="F32" s="51">
        <f>(D32*F28)</f>
        <v>9212.4401249999992</v>
      </c>
      <c r="G32" s="52">
        <f>1739/50</f>
        <v>34.78</v>
      </c>
      <c r="H32" s="29">
        <f>G32*F32</f>
        <v>320408.66754749999</v>
      </c>
    </row>
    <row r="33" spans="1:9" s="1" customFormat="1" ht="12.75" x14ac:dyDescent="0.2">
      <c r="A33" s="24"/>
      <c r="B33" s="50"/>
      <c r="C33" s="50" t="s">
        <v>155</v>
      </c>
      <c r="D33" s="31">
        <v>1</v>
      </c>
      <c r="E33" s="32" t="s">
        <v>32</v>
      </c>
      <c r="F33" s="51">
        <f t="shared" ref="F33" si="0">I33*D33</f>
        <v>4213.84</v>
      </c>
      <c r="G33" s="52">
        <f>49.7/2.5</f>
        <v>19.880000000000003</v>
      </c>
      <c r="H33" s="29">
        <f t="shared" ref="H33:H35" si="1">G33*F33</f>
        <v>83771.13920000002</v>
      </c>
      <c r="I33" s="83">
        <v>4213.84</v>
      </c>
    </row>
    <row r="34" spans="1:9" s="1" customFormat="1" ht="25.5" x14ac:dyDescent="0.2">
      <c r="A34" s="24"/>
      <c r="B34" s="50"/>
      <c r="C34" s="50" t="s">
        <v>153</v>
      </c>
      <c r="D34" s="31">
        <v>1.1000000000000001</v>
      </c>
      <c r="E34" s="32" t="s">
        <v>32</v>
      </c>
      <c r="F34" s="51">
        <f>I34*D34</f>
        <v>5507.4910000000009</v>
      </c>
      <c r="G34" s="52">
        <f>93/2.4</f>
        <v>38.75</v>
      </c>
      <c r="H34" s="29">
        <f t="shared" si="1"/>
        <v>213415.27625000002</v>
      </c>
      <c r="I34" s="83">
        <v>5006.8100000000004</v>
      </c>
    </row>
    <row r="35" spans="1:9" s="1" customFormat="1" ht="12.75" x14ac:dyDescent="0.2">
      <c r="A35" s="24"/>
      <c r="B35" s="50"/>
      <c r="C35" s="50" t="s">
        <v>154</v>
      </c>
      <c r="D35" s="31">
        <v>1.1000000000000001</v>
      </c>
      <c r="E35" s="32" t="s">
        <v>32</v>
      </c>
      <c r="F35" s="51">
        <f>I35*D35</f>
        <v>1366.827</v>
      </c>
      <c r="G35" s="52">
        <f>127/2.5</f>
        <v>50.8</v>
      </c>
      <c r="H35" s="29">
        <f t="shared" si="1"/>
        <v>69434.811600000001</v>
      </c>
      <c r="I35" s="83">
        <v>1242.57</v>
      </c>
    </row>
    <row r="36" spans="1:9" x14ac:dyDescent="0.25">
      <c r="A36" s="30"/>
      <c r="B36" s="50"/>
      <c r="C36" s="50" t="s">
        <v>81</v>
      </c>
      <c r="D36" s="77" t="s">
        <v>82</v>
      </c>
      <c r="E36" s="32"/>
      <c r="F36" s="33"/>
      <c r="G36" s="34"/>
      <c r="H36" s="29">
        <f>SUM(H31:H35)*0.03</f>
        <v>39644.599217924995</v>
      </c>
    </row>
    <row r="37" spans="1:9" x14ac:dyDescent="0.25">
      <c r="A37" s="41" t="s">
        <v>34</v>
      </c>
      <c r="B37" s="42" t="s">
        <v>169</v>
      </c>
      <c r="C37" s="43"/>
      <c r="D37" s="44"/>
      <c r="E37" s="45" t="s">
        <v>20</v>
      </c>
      <c r="F37" s="46">
        <f>F20+781.48</f>
        <v>8007.18</v>
      </c>
      <c r="G37" s="46">
        <f>ROUND((H38+H39)/F37,2)</f>
        <v>298.31</v>
      </c>
      <c r="H37" s="58">
        <f>ROUND(G37*F37,2)</f>
        <v>2388621.87</v>
      </c>
    </row>
    <row r="38" spans="1:9" x14ac:dyDescent="0.25">
      <c r="A38" s="24"/>
      <c r="B38" s="47" t="s">
        <v>21</v>
      </c>
      <c r="C38" s="25"/>
      <c r="D38" s="26"/>
      <c r="E38" s="27" t="s">
        <v>20</v>
      </c>
      <c r="F38" s="28">
        <f>F37</f>
        <v>8007.18</v>
      </c>
      <c r="G38" s="27"/>
      <c r="H38" s="29">
        <f>G38*F38</f>
        <v>0</v>
      </c>
    </row>
    <row r="39" spans="1:9" x14ac:dyDescent="0.25">
      <c r="A39" s="24"/>
      <c r="B39" s="48" t="s">
        <v>22</v>
      </c>
      <c r="C39" s="25"/>
      <c r="D39" s="26"/>
      <c r="E39" s="49"/>
      <c r="F39" s="28"/>
      <c r="G39" s="27">
        <f>H39/F37</f>
        <v>298.31375000000003</v>
      </c>
      <c r="H39" s="29">
        <f>SUM(H40:H42)</f>
        <v>2388651.8927250002</v>
      </c>
    </row>
    <row r="40" spans="1:9" ht="25.5" x14ac:dyDescent="0.25">
      <c r="A40" s="24"/>
      <c r="B40" s="50"/>
      <c r="C40" s="50" t="s">
        <v>35</v>
      </c>
      <c r="D40" s="31">
        <v>0.2</v>
      </c>
      <c r="E40" s="32" t="s">
        <v>24</v>
      </c>
      <c r="F40" s="51">
        <f>(D40*F37)</f>
        <v>1601.4360000000001</v>
      </c>
      <c r="G40" s="52">
        <f>820/16</f>
        <v>51.25</v>
      </c>
      <c r="H40" s="29">
        <f>G40*F40</f>
        <v>82073.595000000001</v>
      </c>
    </row>
    <row r="41" spans="1:9" ht="25.5" x14ac:dyDescent="0.25">
      <c r="A41" s="24"/>
      <c r="B41" s="50"/>
      <c r="C41" s="53" t="s">
        <v>160</v>
      </c>
      <c r="D41" s="31">
        <v>3</v>
      </c>
      <c r="E41" s="32" t="s">
        <v>27</v>
      </c>
      <c r="F41" s="51">
        <f>(F37*D41)</f>
        <v>24021.54</v>
      </c>
      <c r="G41" s="52">
        <f>1490/16</f>
        <v>93.125</v>
      </c>
      <c r="H41" s="29">
        <f>G41*F41</f>
        <v>2237005.9125000001</v>
      </c>
    </row>
    <row r="42" spans="1:9" x14ac:dyDescent="0.25">
      <c r="A42" s="30"/>
      <c r="B42" s="50"/>
      <c r="C42" s="50" t="s">
        <v>81</v>
      </c>
      <c r="D42" s="77" t="s">
        <v>82</v>
      </c>
      <c r="E42" s="32"/>
      <c r="F42" s="33"/>
      <c r="G42" s="34"/>
      <c r="H42" s="29">
        <f>SUM(H40:H41)*0.03</f>
        <v>69572.385225000005</v>
      </c>
    </row>
    <row r="43" spans="1:9" x14ac:dyDescent="0.25">
      <c r="A43" s="35" t="s">
        <v>36</v>
      </c>
      <c r="B43" s="36" t="s">
        <v>91</v>
      </c>
      <c r="C43" s="36"/>
      <c r="D43" s="37"/>
      <c r="E43" s="38"/>
      <c r="F43" s="39"/>
      <c r="G43" s="40"/>
      <c r="H43" s="40">
        <f>H44+H49+H55</f>
        <v>65098.97</v>
      </c>
    </row>
    <row r="44" spans="1:9" x14ac:dyDescent="0.25">
      <c r="A44" s="41" t="s">
        <v>37</v>
      </c>
      <c r="B44" s="42" t="s">
        <v>172</v>
      </c>
      <c r="C44" s="43"/>
      <c r="D44" s="44"/>
      <c r="E44" s="45" t="s">
        <v>20</v>
      </c>
      <c r="F44" s="46">
        <v>154.6</v>
      </c>
      <c r="G44" s="46">
        <f>ROUND((H45+H46)/F44,2)</f>
        <v>0</v>
      </c>
      <c r="H44" s="58">
        <f>ROUND(G44*F44,2)</f>
        <v>0</v>
      </c>
    </row>
    <row r="45" spans="1:9" x14ac:dyDescent="0.25">
      <c r="A45" s="24"/>
      <c r="B45" s="47" t="s">
        <v>21</v>
      </c>
      <c r="C45" s="25"/>
      <c r="D45" s="26"/>
      <c r="E45" s="27" t="s">
        <v>20</v>
      </c>
      <c r="F45" s="28">
        <f>F44</f>
        <v>154.6</v>
      </c>
      <c r="G45" s="27"/>
      <c r="H45" s="29">
        <f>G45*F45</f>
        <v>0</v>
      </c>
    </row>
    <row r="46" spans="1:9" x14ac:dyDescent="0.25">
      <c r="A46" s="24"/>
      <c r="B46" s="48" t="s">
        <v>22</v>
      </c>
      <c r="C46" s="25"/>
      <c r="D46" s="26"/>
      <c r="E46" s="49"/>
      <c r="F46" s="28"/>
      <c r="G46" s="27">
        <f>H46/F44</f>
        <v>0</v>
      </c>
      <c r="H46" s="29">
        <f>SUM(H47:H48)</f>
        <v>0</v>
      </c>
    </row>
    <row r="47" spans="1:9" ht="25.5" x14ac:dyDescent="0.25">
      <c r="A47" s="24"/>
      <c r="B47" s="50"/>
      <c r="C47" s="50" t="s">
        <v>23</v>
      </c>
      <c r="D47" s="31">
        <v>0.15</v>
      </c>
      <c r="E47" s="32" t="s">
        <v>24</v>
      </c>
      <c r="F47" s="51">
        <f>(D47*F44)</f>
        <v>23.189999999999998</v>
      </c>
      <c r="G47" s="52"/>
      <c r="H47" s="29">
        <f>G47*F47</f>
        <v>0</v>
      </c>
    </row>
    <row r="48" spans="1:9" x14ac:dyDescent="0.25">
      <c r="A48" s="30"/>
      <c r="B48" s="50"/>
      <c r="C48" s="50" t="s">
        <v>81</v>
      </c>
      <c r="D48" s="77" t="s">
        <v>82</v>
      </c>
      <c r="E48" s="32"/>
      <c r="F48" s="33"/>
      <c r="G48" s="34"/>
      <c r="H48" s="29">
        <f>SUM(H47:H47)*0.03</f>
        <v>0</v>
      </c>
    </row>
    <row r="49" spans="1:8" x14ac:dyDescent="0.25">
      <c r="A49" s="41" t="s">
        <v>40</v>
      </c>
      <c r="B49" s="42" t="s">
        <v>170</v>
      </c>
      <c r="C49" s="43"/>
      <c r="D49" s="44"/>
      <c r="E49" s="45" t="s">
        <v>20</v>
      </c>
      <c r="F49" s="46">
        <f>F44</f>
        <v>154.6</v>
      </c>
      <c r="G49" s="46">
        <f>ROUND((H50+H51)/F49,2)</f>
        <v>122.77</v>
      </c>
      <c r="H49" s="58">
        <f>ROUND(G49*F49,2)</f>
        <v>18980.240000000002</v>
      </c>
    </row>
    <row r="50" spans="1:8" x14ac:dyDescent="0.25">
      <c r="A50" s="24"/>
      <c r="B50" s="47" t="s">
        <v>21</v>
      </c>
      <c r="C50" s="25"/>
      <c r="D50" s="26"/>
      <c r="E50" s="27" t="s">
        <v>20</v>
      </c>
      <c r="F50" s="28">
        <f>F49</f>
        <v>154.6</v>
      </c>
      <c r="G50" s="27"/>
      <c r="H50" s="29">
        <f>G50*F50</f>
        <v>0</v>
      </c>
    </row>
    <row r="51" spans="1:8" x14ac:dyDescent="0.25">
      <c r="A51" s="24"/>
      <c r="B51" s="48" t="s">
        <v>22</v>
      </c>
      <c r="C51" s="25"/>
      <c r="D51" s="26"/>
      <c r="E51" s="49"/>
      <c r="F51" s="28"/>
      <c r="G51" s="27">
        <f>H51/F49</f>
        <v>122.77290999999998</v>
      </c>
      <c r="H51" s="29">
        <f>SUM(H52:H54)</f>
        <v>18980.691885999997</v>
      </c>
    </row>
    <row r="52" spans="1:8" x14ac:dyDescent="0.25">
      <c r="A52" s="24"/>
      <c r="B52" s="50"/>
      <c r="C52" s="53" t="s">
        <v>30</v>
      </c>
      <c r="D52" s="31">
        <v>5.5</v>
      </c>
      <c r="E52" s="32" t="s">
        <v>27</v>
      </c>
      <c r="F52" s="51">
        <f>(D52*F49)</f>
        <v>850.3</v>
      </c>
      <c r="G52" s="52">
        <f>360/25</f>
        <v>14.4</v>
      </c>
      <c r="H52" s="29">
        <f>G52*F52</f>
        <v>12244.32</v>
      </c>
    </row>
    <row r="53" spans="1:8" ht="25.5" x14ac:dyDescent="0.25">
      <c r="A53" s="24"/>
      <c r="B53" s="50"/>
      <c r="C53" s="50" t="s">
        <v>31</v>
      </c>
      <c r="D53" s="31">
        <v>1.1499999999999999</v>
      </c>
      <c r="E53" s="32" t="s">
        <v>20</v>
      </c>
      <c r="F53" s="51">
        <f>(D53*F49)</f>
        <v>177.79</v>
      </c>
      <c r="G53" s="52">
        <f>1739/50</f>
        <v>34.78</v>
      </c>
      <c r="H53" s="29">
        <f>G53*F53</f>
        <v>6183.5361999999996</v>
      </c>
    </row>
    <row r="54" spans="1:8" x14ac:dyDescent="0.25">
      <c r="A54" s="30"/>
      <c r="B54" s="50"/>
      <c r="C54" s="50" t="s">
        <v>81</v>
      </c>
      <c r="D54" s="77" t="s">
        <v>82</v>
      </c>
      <c r="E54" s="32"/>
      <c r="F54" s="33"/>
      <c r="G54" s="34"/>
      <c r="H54" s="29">
        <f>SUM(H52:H53)*0.03</f>
        <v>552.8356859999999</v>
      </c>
    </row>
    <row r="55" spans="1:8" x14ac:dyDescent="0.25">
      <c r="A55" s="41" t="s">
        <v>41</v>
      </c>
      <c r="B55" s="42" t="s">
        <v>169</v>
      </c>
      <c r="C55" s="43"/>
      <c r="D55" s="44"/>
      <c r="E55" s="45" t="s">
        <v>20</v>
      </c>
      <c r="F55" s="46">
        <f>F44</f>
        <v>154.6</v>
      </c>
      <c r="G55" s="46">
        <f>ROUND((H56+H57)/F55,2)</f>
        <v>298.31</v>
      </c>
      <c r="H55" s="58">
        <f>ROUND(G55*F55,2)</f>
        <v>46118.73</v>
      </c>
    </row>
    <row r="56" spans="1:8" x14ac:dyDescent="0.25">
      <c r="A56" s="24"/>
      <c r="B56" s="47" t="s">
        <v>21</v>
      </c>
      <c r="C56" s="25"/>
      <c r="D56" s="26"/>
      <c r="E56" s="27" t="s">
        <v>20</v>
      </c>
      <c r="F56" s="28">
        <f>F55</f>
        <v>154.6</v>
      </c>
      <c r="G56" s="27"/>
      <c r="H56" s="29">
        <f>G56*F56</f>
        <v>0</v>
      </c>
    </row>
    <row r="57" spans="1:8" x14ac:dyDescent="0.25">
      <c r="A57" s="24"/>
      <c r="B57" s="48" t="s">
        <v>22</v>
      </c>
      <c r="C57" s="25"/>
      <c r="D57" s="26"/>
      <c r="E57" s="49"/>
      <c r="F57" s="28"/>
      <c r="G57" s="27">
        <f>H57/F55</f>
        <v>298.31374999999997</v>
      </c>
      <c r="H57" s="29">
        <f>SUM(H58:H60)</f>
        <v>46119.305749999992</v>
      </c>
    </row>
    <row r="58" spans="1:8" ht="25.5" x14ac:dyDescent="0.25">
      <c r="A58" s="24"/>
      <c r="B58" s="50"/>
      <c r="C58" s="50" t="s">
        <v>35</v>
      </c>
      <c r="D58" s="31">
        <v>0.2</v>
      </c>
      <c r="E58" s="32" t="s">
        <v>24</v>
      </c>
      <c r="F58" s="51">
        <f>(D58*F55)</f>
        <v>30.92</v>
      </c>
      <c r="G58" s="52">
        <f>820/16</f>
        <v>51.25</v>
      </c>
      <c r="H58" s="29">
        <f>G58*F58</f>
        <v>1584.65</v>
      </c>
    </row>
    <row r="59" spans="1:8" ht="25.5" x14ac:dyDescent="0.25">
      <c r="A59" s="24"/>
      <c r="B59" s="50"/>
      <c r="C59" s="53" t="s">
        <v>160</v>
      </c>
      <c r="D59" s="31">
        <v>3</v>
      </c>
      <c r="E59" s="32" t="s">
        <v>27</v>
      </c>
      <c r="F59" s="51">
        <f>(F55*D59)</f>
        <v>463.79999999999995</v>
      </c>
      <c r="G59" s="52">
        <f>1490/16</f>
        <v>93.125</v>
      </c>
      <c r="H59" s="29">
        <f>G59*F59</f>
        <v>43191.374999999993</v>
      </c>
    </row>
    <row r="60" spans="1:8" x14ac:dyDescent="0.25">
      <c r="A60" s="30"/>
      <c r="B60" s="50"/>
      <c r="C60" s="50" t="s">
        <v>81</v>
      </c>
      <c r="D60" s="77" t="s">
        <v>82</v>
      </c>
      <c r="E60" s="32"/>
      <c r="F60" s="33"/>
      <c r="G60" s="34"/>
      <c r="H60" s="29">
        <f>SUM(H58:H59)*0.03</f>
        <v>1343.2807499999997</v>
      </c>
    </row>
    <row r="61" spans="1:8" x14ac:dyDescent="0.25">
      <c r="A61" s="35" t="s">
        <v>43</v>
      </c>
      <c r="B61" s="36" t="s">
        <v>85</v>
      </c>
      <c r="C61" s="36"/>
      <c r="D61" s="37"/>
      <c r="E61" s="38"/>
      <c r="F61" s="39"/>
      <c r="G61" s="40"/>
      <c r="H61" s="40">
        <f>H62+H70+H76</f>
        <v>92679.5</v>
      </c>
    </row>
    <row r="62" spans="1:8" x14ac:dyDescent="0.25">
      <c r="A62" s="41" t="s">
        <v>44</v>
      </c>
      <c r="B62" s="42" t="s">
        <v>86</v>
      </c>
      <c r="C62" s="43"/>
      <c r="D62" s="44"/>
      <c r="E62" s="45" t="s">
        <v>20</v>
      </c>
      <c r="F62" s="46">
        <v>170.8</v>
      </c>
      <c r="G62" s="46">
        <f>ROUND((H63+H64)/F62,2)</f>
        <v>122.31</v>
      </c>
      <c r="H62" s="58">
        <f>ROUND(G62*F62,2)</f>
        <v>20890.55</v>
      </c>
    </row>
    <row r="63" spans="1:8" x14ac:dyDescent="0.25">
      <c r="A63" s="24"/>
      <c r="B63" s="47" t="s">
        <v>21</v>
      </c>
      <c r="C63" s="25"/>
      <c r="D63" s="26"/>
      <c r="E63" s="27" t="s">
        <v>20</v>
      </c>
      <c r="F63" s="28">
        <f>F62</f>
        <v>170.8</v>
      </c>
      <c r="G63" s="27"/>
      <c r="H63" s="29">
        <f>G63*F63</f>
        <v>0</v>
      </c>
    </row>
    <row r="64" spans="1:8" x14ac:dyDescent="0.25">
      <c r="A64" s="24"/>
      <c r="B64" s="48" t="s">
        <v>22</v>
      </c>
      <c r="C64" s="25"/>
      <c r="D64" s="26"/>
      <c r="E64" s="49"/>
      <c r="F64" s="28"/>
      <c r="G64" s="27">
        <f>H64/F62</f>
        <v>122.3125</v>
      </c>
      <c r="H64" s="29">
        <f>SUM(H65:H69)</f>
        <v>20890.975000000002</v>
      </c>
    </row>
    <row r="65" spans="1:8" ht="25.5" x14ac:dyDescent="0.25">
      <c r="A65" s="24"/>
      <c r="B65" s="50"/>
      <c r="C65" s="50" t="s">
        <v>23</v>
      </c>
      <c r="D65" s="31">
        <v>0.15</v>
      </c>
      <c r="E65" s="32" t="s">
        <v>24</v>
      </c>
      <c r="F65" s="51">
        <f>(D65*F62)</f>
        <v>25.62</v>
      </c>
      <c r="G65" s="52"/>
      <c r="H65" s="29">
        <f>G65*F65</f>
        <v>0</v>
      </c>
    </row>
    <row r="66" spans="1:8" x14ac:dyDescent="0.25">
      <c r="A66" s="24"/>
      <c r="B66" s="50"/>
      <c r="C66" s="53" t="s">
        <v>176</v>
      </c>
      <c r="D66" s="31">
        <f>0.13*1.05</f>
        <v>0.13650000000000001</v>
      </c>
      <c r="E66" s="32" t="s">
        <v>25</v>
      </c>
      <c r="F66" s="51">
        <f>D66*F62</f>
        <v>23.314200000000003</v>
      </c>
      <c r="G66" s="52"/>
      <c r="H66" s="29">
        <f>G66*F66</f>
        <v>0</v>
      </c>
    </row>
    <row r="67" spans="1:8" x14ac:dyDescent="0.25">
      <c r="A67" s="24"/>
      <c r="B67" s="50"/>
      <c r="C67" s="50" t="s">
        <v>26</v>
      </c>
      <c r="D67" s="31">
        <v>6</v>
      </c>
      <c r="E67" s="32" t="s">
        <v>27</v>
      </c>
      <c r="F67" s="51">
        <f>(D67*F62)</f>
        <v>1024.8000000000002</v>
      </c>
      <c r="G67" s="52">
        <f>260/25</f>
        <v>10.4</v>
      </c>
      <c r="H67" s="29">
        <f>G67*F67</f>
        <v>10657.920000000002</v>
      </c>
    </row>
    <row r="68" spans="1:8" x14ac:dyDescent="0.25">
      <c r="A68" s="24"/>
      <c r="B68" s="50"/>
      <c r="C68" s="50" t="s">
        <v>157</v>
      </c>
      <c r="D68" s="31">
        <v>7</v>
      </c>
      <c r="E68" s="32" t="s">
        <v>28</v>
      </c>
      <c r="F68" s="51">
        <f>D68*F62</f>
        <v>1195.6000000000001</v>
      </c>
      <c r="G68" s="52">
        <v>8.0500000000000007</v>
      </c>
      <c r="H68" s="29">
        <f>G68*F68</f>
        <v>9624.5800000000017</v>
      </c>
    </row>
    <row r="69" spans="1:8" x14ac:dyDescent="0.25">
      <c r="A69" s="30"/>
      <c r="B69" s="50"/>
      <c r="C69" s="50" t="s">
        <v>81</v>
      </c>
      <c r="D69" s="77" t="s">
        <v>82</v>
      </c>
      <c r="E69" s="32"/>
      <c r="F69" s="33"/>
      <c r="G69" s="34"/>
      <c r="H69" s="29">
        <f>SUM(H65:H68)*0.03</f>
        <v>608.47500000000014</v>
      </c>
    </row>
    <row r="70" spans="1:8" x14ac:dyDescent="0.25">
      <c r="A70" s="41" t="s">
        <v>46</v>
      </c>
      <c r="B70" s="42" t="s">
        <v>170</v>
      </c>
      <c r="C70" s="43"/>
      <c r="D70" s="44"/>
      <c r="E70" s="45" t="s">
        <v>20</v>
      </c>
      <c r="F70" s="46">
        <f>F62</f>
        <v>170.8</v>
      </c>
      <c r="G70" s="46">
        <f>ROUND((H71+H72)/F70,2)</f>
        <v>122.77</v>
      </c>
      <c r="H70" s="58">
        <f>ROUND(G70*F70,2)</f>
        <v>20969.12</v>
      </c>
    </row>
    <row r="71" spans="1:8" x14ac:dyDescent="0.25">
      <c r="A71" s="24"/>
      <c r="B71" s="47" t="s">
        <v>21</v>
      </c>
      <c r="C71" s="25"/>
      <c r="D71" s="26"/>
      <c r="E71" s="27" t="s">
        <v>20</v>
      </c>
      <c r="F71" s="28">
        <f>F70</f>
        <v>170.8</v>
      </c>
      <c r="G71" s="27"/>
      <c r="H71" s="29">
        <f>G71*F71</f>
        <v>0</v>
      </c>
    </row>
    <row r="72" spans="1:8" x14ac:dyDescent="0.25">
      <c r="A72" s="24"/>
      <c r="B72" s="48" t="s">
        <v>22</v>
      </c>
      <c r="C72" s="25"/>
      <c r="D72" s="26"/>
      <c r="E72" s="49"/>
      <c r="F72" s="28"/>
      <c r="G72" s="27">
        <f>H72/F70</f>
        <v>122.77291</v>
      </c>
      <c r="H72" s="29">
        <f>SUM(H73:H75)</f>
        <v>20969.613028</v>
      </c>
    </row>
    <row r="73" spans="1:8" x14ac:dyDescent="0.25">
      <c r="A73" s="24"/>
      <c r="B73" s="50"/>
      <c r="C73" s="53" t="s">
        <v>30</v>
      </c>
      <c r="D73" s="31">
        <v>5.5</v>
      </c>
      <c r="E73" s="32" t="s">
        <v>27</v>
      </c>
      <c r="F73" s="51">
        <f>(D73*F70)</f>
        <v>939.40000000000009</v>
      </c>
      <c r="G73" s="52">
        <f>360/25</f>
        <v>14.4</v>
      </c>
      <c r="H73" s="29">
        <f>G73*F73</f>
        <v>13527.360000000002</v>
      </c>
    </row>
    <row r="74" spans="1:8" ht="25.5" x14ac:dyDescent="0.25">
      <c r="A74" s="24"/>
      <c r="B74" s="50"/>
      <c r="C74" s="50" t="s">
        <v>31</v>
      </c>
      <c r="D74" s="31">
        <v>1.1499999999999999</v>
      </c>
      <c r="E74" s="32" t="s">
        <v>20</v>
      </c>
      <c r="F74" s="51">
        <f>(D74*F70)</f>
        <v>196.42</v>
      </c>
      <c r="G74" s="52">
        <f>1739/50</f>
        <v>34.78</v>
      </c>
      <c r="H74" s="29">
        <f>G74*F74</f>
        <v>6831.4875999999995</v>
      </c>
    </row>
    <row r="75" spans="1:8" x14ac:dyDescent="0.25">
      <c r="A75" s="30"/>
      <c r="B75" s="50"/>
      <c r="C75" s="50" t="s">
        <v>81</v>
      </c>
      <c r="D75" s="77" t="s">
        <v>82</v>
      </c>
      <c r="E75" s="32"/>
      <c r="F75" s="33"/>
      <c r="G75" s="34"/>
      <c r="H75" s="29">
        <f>SUM(H73:H74)*0.03</f>
        <v>610.76542800000004</v>
      </c>
    </row>
    <row r="76" spans="1:8" x14ac:dyDescent="0.25">
      <c r="A76" s="41" t="s">
        <v>47</v>
      </c>
      <c r="B76" s="42" t="s">
        <v>169</v>
      </c>
      <c r="C76" s="43"/>
      <c r="D76" s="44"/>
      <c r="E76" s="45" t="s">
        <v>20</v>
      </c>
      <c r="F76" s="46">
        <f>F62</f>
        <v>170.8</v>
      </c>
      <c r="G76" s="46">
        <f>ROUND((H77+H78)/F76,2)</f>
        <v>297.54000000000002</v>
      </c>
      <c r="H76" s="58">
        <f>ROUND(G76*F76,2)</f>
        <v>50819.83</v>
      </c>
    </row>
    <row r="77" spans="1:8" x14ac:dyDescent="0.25">
      <c r="A77" s="24"/>
      <c r="B77" s="47" t="s">
        <v>21</v>
      </c>
      <c r="C77" s="25"/>
      <c r="D77" s="26"/>
      <c r="E77" s="27" t="s">
        <v>20</v>
      </c>
      <c r="F77" s="28">
        <f>F76</f>
        <v>170.8</v>
      </c>
      <c r="G77" s="27"/>
      <c r="H77" s="29">
        <f>G77*F77</f>
        <v>0</v>
      </c>
    </row>
    <row r="78" spans="1:8" x14ac:dyDescent="0.25">
      <c r="A78" s="24"/>
      <c r="B78" s="48" t="s">
        <v>22</v>
      </c>
      <c r="C78" s="25"/>
      <c r="D78" s="26"/>
      <c r="E78" s="49"/>
      <c r="F78" s="28"/>
      <c r="G78" s="27">
        <f>H78/F76</f>
        <v>297.54125000000005</v>
      </c>
      <c r="H78" s="29">
        <f>SUM(H79:H81)</f>
        <v>50820.045500000007</v>
      </c>
    </row>
    <row r="79" spans="1:8" ht="25.5" x14ac:dyDescent="0.25">
      <c r="A79" s="24"/>
      <c r="B79" s="50"/>
      <c r="C79" s="50" t="s">
        <v>35</v>
      </c>
      <c r="D79" s="31">
        <v>0.2</v>
      </c>
      <c r="E79" s="32" t="s">
        <v>24</v>
      </c>
      <c r="F79" s="51">
        <f>(D79*F76)</f>
        <v>34.160000000000004</v>
      </c>
      <c r="G79" s="52">
        <f>820/16</f>
        <v>51.25</v>
      </c>
      <c r="H79" s="29">
        <f>G79*F79</f>
        <v>1750.7000000000003</v>
      </c>
    </row>
    <row r="80" spans="1:8" ht="25.5" x14ac:dyDescent="0.25">
      <c r="A80" s="24"/>
      <c r="B80" s="50"/>
      <c r="C80" s="53" t="s">
        <v>102</v>
      </c>
      <c r="D80" s="31">
        <v>3</v>
      </c>
      <c r="E80" s="32" t="s">
        <v>27</v>
      </c>
      <c r="F80" s="51">
        <f>(F76*D80)</f>
        <v>512.40000000000009</v>
      </c>
      <c r="G80" s="52">
        <f>1486/16</f>
        <v>92.875</v>
      </c>
      <c r="H80" s="29">
        <f>G80*F80</f>
        <v>47589.150000000009</v>
      </c>
    </row>
    <row r="81" spans="1:9" x14ac:dyDescent="0.25">
      <c r="A81" s="30"/>
      <c r="B81" s="50"/>
      <c r="C81" s="50" t="s">
        <v>81</v>
      </c>
      <c r="D81" s="77" t="s">
        <v>82</v>
      </c>
      <c r="E81" s="32"/>
      <c r="F81" s="33"/>
      <c r="G81" s="34"/>
      <c r="H81" s="29">
        <f>SUM(H79:H80)*0.03</f>
        <v>1480.1955</v>
      </c>
    </row>
    <row r="82" spans="1:9" x14ac:dyDescent="0.25">
      <c r="A82" s="35" t="s">
        <v>48</v>
      </c>
      <c r="B82" s="36" t="s">
        <v>87</v>
      </c>
      <c r="C82" s="36"/>
      <c r="D82" s="37"/>
      <c r="E82" s="38"/>
      <c r="F82" s="39"/>
      <c r="G82" s="40"/>
      <c r="H82" s="40">
        <f>H83+H91+H100</f>
        <v>334008.98</v>
      </c>
    </row>
    <row r="83" spans="1:9" x14ac:dyDescent="0.25">
      <c r="A83" s="41" t="s">
        <v>49</v>
      </c>
      <c r="B83" s="42" t="s">
        <v>86</v>
      </c>
      <c r="C83" s="43"/>
      <c r="D83" s="44"/>
      <c r="E83" s="45" t="s">
        <v>20</v>
      </c>
      <c r="F83" s="46">
        <v>286.89999999999998</v>
      </c>
      <c r="G83" s="46">
        <f>ROUND((H84+H85)/F83,2)</f>
        <v>122.31</v>
      </c>
      <c r="H83" s="58">
        <f>ROUND(G83*F83,2)</f>
        <v>35090.74</v>
      </c>
    </row>
    <row r="84" spans="1:9" x14ac:dyDescent="0.25">
      <c r="A84" s="24"/>
      <c r="B84" s="47" t="s">
        <v>21</v>
      </c>
      <c r="C84" s="25"/>
      <c r="D84" s="26"/>
      <c r="E84" s="27" t="s">
        <v>20</v>
      </c>
      <c r="F84" s="28">
        <f>F83</f>
        <v>286.89999999999998</v>
      </c>
      <c r="G84" s="27"/>
      <c r="H84" s="29">
        <f>G84*F84</f>
        <v>0</v>
      </c>
    </row>
    <row r="85" spans="1:9" x14ac:dyDescent="0.25">
      <c r="A85" s="24"/>
      <c r="B85" s="48" t="s">
        <v>22</v>
      </c>
      <c r="C85" s="25"/>
      <c r="D85" s="26"/>
      <c r="E85" s="49"/>
      <c r="F85" s="28"/>
      <c r="G85" s="27">
        <f>H85/F83</f>
        <v>122.31250000000001</v>
      </c>
      <c r="H85" s="29">
        <f>SUM(H86:H90)</f>
        <v>35091.456250000003</v>
      </c>
    </row>
    <row r="86" spans="1:9" ht="25.5" x14ac:dyDescent="0.25">
      <c r="A86" s="24"/>
      <c r="B86" s="50"/>
      <c r="C86" s="50" t="s">
        <v>23</v>
      </c>
      <c r="D86" s="31">
        <v>0.15</v>
      </c>
      <c r="E86" s="32" t="s">
        <v>24</v>
      </c>
      <c r="F86" s="51">
        <f>(D86*F83)</f>
        <v>43.034999999999997</v>
      </c>
      <c r="G86" s="52"/>
      <c r="H86" s="29">
        <f>G86*F86</f>
        <v>0</v>
      </c>
    </row>
    <row r="87" spans="1:9" x14ac:dyDescent="0.25">
      <c r="A87" s="24"/>
      <c r="B87" s="50"/>
      <c r="C87" s="53" t="s">
        <v>175</v>
      </c>
      <c r="D87" s="31">
        <f>0.15*1.05</f>
        <v>0.1575</v>
      </c>
      <c r="E87" s="32" t="s">
        <v>25</v>
      </c>
      <c r="F87" s="51">
        <f>D87*F83</f>
        <v>45.186749999999996</v>
      </c>
      <c r="G87" s="52"/>
      <c r="H87" s="29">
        <f>G87*F87</f>
        <v>0</v>
      </c>
    </row>
    <row r="88" spans="1:9" x14ac:dyDescent="0.25">
      <c r="A88" s="24"/>
      <c r="B88" s="50"/>
      <c r="C88" s="50" t="s">
        <v>26</v>
      </c>
      <c r="D88" s="31">
        <v>6</v>
      </c>
      <c r="E88" s="32" t="s">
        <v>27</v>
      </c>
      <c r="F88" s="51">
        <f>(D88*F83)</f>
        <v>1721.3999999999999</v>
      </c>
      <c r="G88" s="52">
        <f>260/25</f>
        <v>10.4</v>
      </c>
      <c r="H88" s="29">
        <f>G88*F88</f>
        <v>17902.559999999998</v>
      </c>
    </row>
    <row r="89" spans="1:9" x14ac:dyDescent="0.25">
      <c r="A89" s="24"/>
      <c r="B89" s="50"/>
      <c r="C89" s="50" t="s">
        <v>157</v>
      </c>
      <c r="D89" s="31">
        <v>7</v>
      </c>
      <c r="E89" s="32" t="s">
        <v>28</v>
      </c>
      <c r="F89" s="51">
        <f>D89*F83</f>
        <v>2008.2999999999997</v>
      </c>
      <c r="G89" s="52">
        <v>8.0500000000000007</v>
      </c>
      <c r="H89" s="29">
        <f>G89*F89</f>
        <v>16166.814999999999</v>
      </c>
    </row>
    <row r="90" spans="1:9" x14ac:dyDescent="0.25">
      <c r="A90" s="30"/>
      <c r="B90" s="50"/>
      <c r="C90" s="50" t="s">
        <v>81</v>
      </c>
      <c r="D90" s="77" t="s">
        <v>82</v>
      </c>
      <c r="E90" s="32"/>
      <c r="F90" s="33"/>
      <c r="G90" s="34"/>
      <c r="H90" s="29">
        <f>SUM(H86:H89)*0.03</f>
        <v>1022.08125</v>
      </c>
    </row>
    <row r="91" spans="1:9" x14ac:dyDescent="0.25">
      <c r="A91" s="41" t="s">
        <v>50</v>
      </c>
      <c r="B91" s="42" t="s">
        <v>171</v>
      </c>
      <c r="C91" s="43"/>
      <c r="D91" s="44"/>
      <c r="E91" s="45" t="s">
        <v>20</v>
      </c>
      <c r="F91" s="46">
        <f>F83</f>
        <v>286.89999999999998</v>
      </c>
      <c r="G91" s="46">
        <f>ROUND((H92+H93)/F91,2)</f>
        <v>321.02</v>
      </c>
      <c r="H91" s="58">
        <f>ROUND(G91*F91,2)</f>
        <v>92100.64</v>
      </c>
    </row>
    <row r="92" spans="1:9" x14ac:dyDescent="0.25">
      <c r="A92" s="24"/>
      <c r="B92" s="47" t="s">
        <v>21</v>
      </c>
      <c r="C92" s="25"/>
      <c r="D92" s="26"/>
      <c r="E92" s="27" t="s">
        <v>20</v>
      </c>
      <c r="F92" s="28">
        <f>F91</f>
        <v>286.89999999999998</v>
      </c>
      <c r="G92" s="27"/>
      <c r="H92" s="29">
        <f>G92*F92</f>
        <v>0</v>
      </c>
    </row>
    <row r="93" spans="1:9" x14ac:dyDescent="0.25">
      <c r="A93" s="24"/>
      <c r="B93" s="48" t="s">
        <v>22</v>
      </c>
      <c r="C93" s="25"/>
      <c r="D93" s="26"/>
      <c r="E93" s="49"/>
      <c r="F93" s="28"/>
      <c r="G93" s="27">
        <f>H93/F91</f>
        <v>321.01921898919488</v>
      </c>
      <c r="H93" s="29">
        <f>SUM(H94:H99)</f>
        <v>92100.413928000009</v>
      </c>
    </row>
    <row r="94" spans="1:9" x14ac:dyDescent="0.25">
      <c r="A94" s="24"/>
      <c r="B94" s="50"/>
      <c r="C94" s="53" t="s">
        <v>30</v>
      </c>
      <c r="D94" s="31">
        <v>5.5</v>
      </c>
      <c r="E94" s="32" t="s">
        <v>27</v>
      </c>
      <c r="F94" s="51">
        <f>(D94*F91)</f>
        <v>1577.9499999999998</v>
      </c>
      <c r="G94" s="52">
        <f>360/25</f>
        <v>14.4</v>
      </c>
      <c r="H94" s="29">
        <f>G94*F94</f>
        <v>22722.48</v>
      </c>
    </row>
    <row r="95" spans="1:9" ht="25.5" x14ac:dyDescent="0.25">
      <c r="A95" s="24"/>
      <c r="B95" s="50"/>
      <c r="C95" s="50" t="s">
        <v>31</v>
      </c>
      <c r="D95" s="31">
        <v>1.1499999999999999</v>
      </c>
      <c r="E95" s="32" t="s">
        <v>20</v>
      </c>
      <c r="F95" s="51">
        <f>(D95*F91)</f>
        <v>329.93499999999995</v>
      </c>
      <c r="G95" s="52">
        <f>1739/50</f>
        <v>34.78</v>
      </c>
      <c r="H95" s="29">
        <f>G95*F95</f>
        <v>11475.139299999999</v>
      </c>
    </row>
    <row r="96" spans="1:9" s="1" customFormat="1" ht="12.75" x14ac:dyDescent="0.2">
      <c r="A96" s="24"/>
      <c r="B96" s="50"/>
      <c r="C96" s="50" t="s">
        <v>155</v>
      </c>
      <c r="D96" s="31">
        <v>1</v>
      </c>
      <c r="E96" s="32" t="s">
        <v>32</v>
      </c>
      <c r="F96" s="51">
        <f t="shared" ref="F96" si="2">I96*D96</f>
        <v>467.8</v>
      </c>
      <c r="G96" s="52">
        <f>49.7/2.5</f>
        <v>19.880000000000003</v>
      </c>
      <c r="H96" s="29">
        <f t="shared" ref="H96:H98" si="3">G96*F96</f>
        <v>9299.8640000000014</v>
      </c>
      <c r="I96" s="83">
        <v>467.8</v>
      </c>
    </row>
    <row r="97" spans="1:9" s="1" customFormat="1" ht="25.5" x14ac:dyDescent="0.2">
      <c r="A97" s="24"/>
      <c r="B97" s="50"/>
      <c r="C97" s="50" t="s">
        <v>153</v>
      </c>
      <c r="D97" s="31">
        <v>1.1000000000000001</v>
      </c>
      <c r="E97" s="32" t="s">
        <v>32</v>
      </c>
      <c r="F97" s="51">
        <f>I97*D97</f>
        <v>753.34600000000012</v>
      </c>
      <c r="G97" s="52">
        <f>93/2.4</f>
        <v>38.75</v>
      </c>
      <c r="H97" s="29">
        <f t="shared" si="3"/>
        <v>29192.157500000005</v>
      </c>
      <c r="I97" s="83">
        <v>684.86</v>
      </c>
    </row>
    <row r="98" spans="1:9" s="1" customFormat="1" ht="12.75" x14ac:dyDescent="0.2">
      <c r="A98" s="24"/>
      <c r="B98" s="50"/>
      <c r="C98" s="50" t="s">
        <v>154</v>
      </c>
      <c r="D98" s="31">
        <v>1.1000000000000001</v>
      </c>
      <c r="E98" s="32" t="s">
        <v>32</v>
      </c>
      <c r="F98" s="51">
        <f>I98*D98</f>
        <v>329.29600000000005</v>
      </c>
      <c r="G98" s="52">
        <f>127/2.5</f>
        <v>50.8</v>
      </c>
      <c r="H98" s="29">
        <f t="shared" si="3"/>
        <v>16728.236800000002</v>
      </c>
      <c r="I98" s="83">
        <v>299.36</v>
      </c>
    </row>
    <row r="99" spans="1:9" x14ac:dyDescent="0.25">
      <c r="A99" s="30"/>
      <c r="B99" s="50"/>
      <c r="C99" s="50" t="s">
        <v>81</v>
      </c>
      <c r="D99" s="77" t="s">
        <v>82</v>
      </c>
      <c r="E99" s="32"/>
      <c r="F99" s="33"/>
      <c r="G99" s="34"/>
      <c r="H99" s="29">
        <f>SUM(H94:H98)*0.03</f>
        <v>2682.5363280000001</v>
      </c>
    </row>
    <row r="100" spans="1:9" x14ac:dyDescent="0.25">
      <c r="A100" s="41" t="s">
        <v>51</v>
      </c>
      <c r="B100" s="42" t="s">
        <v>169</v>
      </c>
      <c r="C100" s="43"/>
      <c r="D100" s="44"/>
      <c r="E100" s="45" t="s">
        <v>20</v>
      </c>
      <c r="F100" s="46">
        <f>F83</f>
        <v>286.89999999999998</v>
      </c>
      <c r="G100" s="46">
        <f>ROUND((H101+H102)/F100,2)</f>
        <v>720.87</v>
      </c>
      <c r="H100" s="58">
        <f>ROUND(G100*F100,2)</f>
        <v>206817.6</v>
      </c>
    </row>
    <row r="101" spans="1:9" x14ac:dyDescent="0.25">
      <c r="A101" s="24"/>
      <c r="B101" s="47" t="s">
        <v>21</v>
      </c>
      <c r="C101" s="25"/>
      <c r="D101" s="26"/>
      <c r="E101" s="27" t="s">
        <v>20</v>
      </c>
      <c r="F101" s="28">
        <f>F100</f>
        <v>286.89999999999998</v>
      </c>
      <c r="G101" s="27"/>
      <c r="H101" s="29">
        <f>G101*F101</f>
        <v>0</v>
      </c>
    </row>
    <row r="102" spans="1:9" x14ac:dyDescent="0.25">
      <c r="A102" s="24"/>
      <c r="B102" s="48" t="s">
        <v>22</v>
      </c>
      <c r="C102" s="25"/>
      <c r="D102" s="26"/>
      <c r="E102" s="49"/>
      <c r="F102" s="28"/>
      <c r="G102" s="27">
        <f>H102/F100</f>
        <v>720.87433999999996</v>
      </c>
      <c r="H102" s="29">
        <f>SUM(H103:H105)</f>
        <v>206818.84814599997</v>
      </c>
    </row>
    <row r="103" spans="1:9" ht="25.5" x14ac:dyDescent="0.25">
      <c r="A103" s="24"/>
      <c r="B103" s="50"/>
      <c r="C103" s="50" t="s">
        <v>35</v>
      </c>
      <c r="D103" s="31">
        <v>0.2</v>
      </c>
      <c r="E103" s="32" t="s">
        <v>24</v>
      </c>
      <c r="F103" s="51">
        <f>(D103*F100)</f>
        <v>57.379999999999995</v>
      </c>
      <c r="G103" s="52">
        <f>820/16</f>
        <v>51.25</v>
      </c>
      <c r="H103" s="29">
        <f>G103*F103</f>
        <v>2940.7249999999999</v>
      </c>
    </row>
    <row r="104" spans="1:9" ht="25.5" x14ac:dyDescent="0.25">
      <c r="A104" s="24"/>
      <c r="B104" s="50"/>
      <c r="C104" s="53" t="s">
        <v>162</v>
      </c>
      <c r="D104" s="31">
        <v>3</v>
      </c>
      <c r="E104" s="32" t="s">
        <v>27</v>
      </c>
      <c r="F104" s="51">
        <f>(F100*D104)</f>
        <v>860.69999999999993</v>
      </c>
      <c r="G104" s="52">
        <f>5746.9/25</f>
        <v>229.87599999999998</v>
      </c>
      <c r="H104" s="29">
        <f>G104*F104</f>
        <v>197854.27319999997</v>
      </c>
    </row>
    <row r="105" spans="1:9" x14ac:dyDescent="0.25">
      <c r="A105" s="30"/>
      <c r="B105" s="50"/>
      <c r="C105" s="50" t="s">
        <v>81</v>
      </c>
      <c r="D105" s="77" t="s">
        <v>82</v>
      </c>
      <c r="E105" s="32"/>
      <c r="F105" s="33"/>
      <c r="G105" s="34"/>
      <c r="H105" s="29">
        <f>SUM(H103:H104)*0.03</f>
        <v>6023.8499459999994</v>
      </c>
    </row>
    <row r="106" spans="1:9" x14ac:dyDescent="0.25">
      <c r="A106" s="35" t="s">
        <v>52</v>
      </c>
      <c r="B106" s="36" t="s">
        <v>89</v>
      </c>
      <c r="C106" s="36"/>
      <c r="D106" s="37"/>
      <c r="E106" s="38"/>
      <c r="F106" s="39"/>
      <c r="G106" s="40"/>
      <c r="H106" s="40">
        <f>H107+H115+H121</f>
        <v>57763.82</v>
      </c>
    </row>
    <row r="107" spans="1:9" x14ac:dyDescent="0.25">
      <c r="A107" s="41" t="s">
        <v>53</v>
      </c>
      <c r="B107" s="42" t="s">
        <v>86</v>
      </c>
      <c r="C107" s="43"/>
      <c r="D107" s="44"/>
      <c r="E107" s="45" t="s">
        <v>20</v>
      </c>
      <c r="F107" s="46">
        <v>59.8</v>
      </c>
      <c r="G107" s="46">
        <f>ROUND((H108+H109)/F107,2)</f>
        <v>122.31</v>
      </c>
      <c r="H107" s="58">
        <f>ROUND(G107*F107,2)</f>
        <v>7314.14</v>
      </c>
    </row>
    <row r="108" spans="1:9" x14ac:dyDescent="0.25">
      <c r="A108" s="24"/>
      <c r="B108" s="47" t="s">
        <v>21</v>
      </c>
      <c r="C108" s="25"/>
      <c r="D108" s="26"/>
      <c r="E108" s="27" t="s">
        <v>20</v>
      </c>
      <c r="F108" s="28">
        <f>F107</f>
        <v>59.8</v>
      </c>
      <c r="G108" s="27"/>
      <c r="H108" s="29">
        <f>G108*F108</f>
        <v>0</v>
      </c>
    </row>
    <row r="109" spans="1:9" x14ac:dyDescent="0.25">
      <c r="A109" s="24"/>
      <c r="B109" s="48" t="s">
        <v>22</v>
      </c>
      <c r="C109" s="25"/>
      <c r="D109" s="26"/>
      <c r="E109" s="49"/>
      <c r="F109" s="28"/>
      <c r="G109" s="27">
        <f>H109/F107</f>
        <v>122.31250000000001</v>
      </c>
      <c r="H109" s="29">
        <f>SUM(H110:H114)</f>
        <v>7314.2875000000004</v>
      </c>
    </row>
    <row r="110" spans="1:9" ht="25.5" x14ac:dyDescent="0.25">
      <c r="A110" s="24"/>
      <c r="B110" s="50"/>
      <c r="C110" s="50" t="s">
        <v>23</v>
      </c>
      <c r="D110" s="31">
        <v>0.15</v>
      </c>
      <c r="E110" s="32" t="s">
        <v>24</v>
      </c>
      <c r="F110" s="51">
        <f>(D110*F107)</f>
        <v>8.9699999999999989</v>
      </c>
      <c r="G110" s="52"/>
      <c r="H110" s="29">
        <f>G110*F110</f>
        <v>0</v>
      </c>
    </row>
    <row r="111" spans="1:9" x14ac:dyDescent="0.25">
      <c r="A111" s="24"/>
      <c r="B111" s="50"/>
      <c r="C111" s="53" t="s">
        <v>175</v>
      </c>
      <c r="D111" s="31">
        <f>0.15*1.05</f>
        <v>0.1575</v>
      </c>
      <c r="E111" s="32" t="s">
        <v>25</v>
      </c>
      <c r="F111" s="51">
        <f>D111*F107</f>
        <v>9.4184999999999999</v>
      </c>
      <c r="G111" s="52"/>
      <c r="H111" s="29">
        <f>G111*F111</f>
        <v>0</v>
      </c>
    </row>
    <row r="112" spans="1:9" x14ac:dyDescent="0.25">
      <c r="A112" s="24"/>
      <c r="B112" s="50"/>
      <c r="C112" s="50" t="s">
        <v>26</v>
      </c>
      <c r="D112" s="31">
        <v>6</v>
      </c>
      <c r="E112" s="32" t="s">
        <v>27</v>
      </c>
      <c r="F112" s="51">
        <f>(D112*F107)</f>
        <v>358.79999999999995</v>
      </c>
      <c r="G112" s="52">
        <f>260/25</f>
        <v>10.4</v>
      </c>
      <c r="H112" s="29">
        <f>G112*F112</f>
        <v>3731.5199999999995</v>
      </c>
    </row>
    <row r="113" spans="1:8" x14ac:dyDescent="0.25">
      <c r="A113" s="24"/>
      <c r="B113" s="50"/>
      <c r="C113" s="50" t="s">
        <v>157</v>
      </c>
      <c r="D113" s="31">
        <v>7</v>
      </c>
      <c r="E113" s="32" t="s">
        <v>28</v>
      </c>
      <c r="F113" s="51">
        <f>D113*F107</f>
        <v>418.59999999999997</v>
      </c>
      <c r="G113" s="52">
        <v>8.0500000000000007</v>
      </c>
      <c r="H113" s="29">
        <f>G113*F113</f>
        <v>3369.73</v>
      </c>
    </row>
    <row r="114" spans="1:8" x14ac:dyDescent="0.25">
      <c r="A114" s="30"/>
      <c r="B114" s="50"/>
      <c r="C114" s="50" t="s">
        <v>81</v>
      </c>
      <c r="D114" s="77" t="s">
        <v>82</v>
      </c>
      <c r="E114" s="32"/>
      <c r="F114" s="33"/>
      <c r="G114" s="34"/>
      <c r="H114" s="29">
        <f>SUM(H110:H113)*0.03</f>
        <v>213.03749999999999</v>
      </c>
    </row>
    <row r="115" spans="1:8" x14ac:dyDescent="0.25">
      <c r="A115" s="41" t="s">
        <v>54</v>
      </c>
      <c r="B115" s="42" t="s">
        <v>170</v>
      </c>
      <c r="C115" s="43"/>
      <c r="D115" s="44"/>
      <c r="E115" s="45" t="s">
        <v>20</v>
      </c>
      <c r="F115" s="46">
        <f>F107</f>
        <v>59.8</v>
      </c>
      <c r="G115" s="46">
        <f>ROUND((H116+H117)/F115,2)</f>
        <v>122.77</v>
      </c>
      <c r="H115" s="58">
        <f>ROUND(G115*F115,2)</f>
        <v>7341.65</v>
      </c>
    </row>
    <row r="116" spans="1:8" x14ac:dyDescent="0.25">
      <c r="A116" s="24"/>
      <c r="B116" s="47" t="s">
        <v>21</v>
      </c>
      <c r="C116" s="25"/>
      <c r="D116" s="26"/>
      <c r="E116" s="27" t="s">
        <v>20</v>
      </c>
      <c r="F116" s="28">
        <f>F115</f>
        <v>59.8</v>
      </c>
      <c r="G116" s="27"/>
      <c r="H116" s="29">
        <f>G116*F116</f>
        <v>0</v>
      </c>
    </row>
    <row r="117" spans="1:8" x14ac:dyDescent="0.25">
      <c r="A117" s="24"/>
      <c r="B117" s="48" t="s">
        <v>22</v>
      </c>
      <c r="C117" s="25"/>
      <c r="D117" s="26"/>
      <c r="E117" s="49"/>
      <c r="F117" s="28"/>
      <c r="G117" s="27">
        <f>H117/F115</f>
        <v>122.77291</v>
      </c>
      <c r="H117" s="29">
        <f>SUM(H118:H120)</f>
        <v>7341.8200179999994</v>
      </c>
    </row>
    <row r="118" spans="1:8" x14ac:dyDescent="0.25">
      <c r="A118" s="24"/>
      <c r="B118" s="50"/>
      <c r="C118" s="53" t="s">
        <v>30</v>
      </c>
      <c r="D118" s="31">
        <v>5.5</v>
      </c>
      <c r="E118" s="32" t="s">
        <v>27</v>
      </c>
      <c r="F118" s="51">
        <f>(D118*F115)</f>
        <v>328.9</v>
      </c>
      <c r="G118" s="52">
        <f>360/25</f>
        <v>14.4</v>
      </c>
      <c r="H118" s="29">
        <f>G118*F118</f>
        <v>4736.16</v>
      </c>
    </row>
    <row r="119" spans="1:8" ht="25.5" x14ac:dyDescent="0.25">
      <c r="A119" s="24"/>
      <c r="B119" s="50"/>
      <c r="C119" s="50" t="s">
        <v>31</v>
      </c>
      <c r="D119" s="31">
        <v>1.1499999999999999</v>
      </c>
      <c r="E119" s="32" t="s">
        <v>20</v>
      </c>
      <c r="F119" s="51">
        <f>(D119*F115)</f>
        <v>68.77</v>
      </c>
      <c r="G119" s="52">
        <f>1739/50</f>
        <v>34.78</v>
      </c>
      <c r="H119" s="29">
        <f>G119*F119</f>
        <v>2391.8206</v>
      </c>
    </row>
    <row r="120" spans="1:8" x14ac:dyDescent="0.25">
      <c r="A120" s="30"/>
      <c r="B120" s="50"/>
      <c r="C120" s="50" t="s">
        <v>81</v>
      </c>
      <c r="D120" s="77" t="s">
        <v>82</v>
      </c>
      <c r="E120" s="32"/>
      <c r="F120" s="33"/>
      <c r="G120" s="34"/>
      <c r="H120" s="29">
        <f>SUM(H118:H119)*0.03</f>
        <v>213.83941799999999</v>
      </c>
    </row>
    <row r="121" spans="1:8" x14ac:dyDescent="0.25">
      <c r="A121" s="41" t="s">
        <v>55</v>
      </c>
      <c r="B121" s="42" t="s">
        <v>169</v>
      </c>
      <c r="C121" s="43"/>
      <c r="D121" s="44"/>
      <c r="E121" s="45" t="s">
        <v>20</v>
      </c>
      <c r="F121" s="46">
        <f>F107</f>
        <v>59.8</v>
      </c>
      <c r="G121" s="46">
        <f>ROUND((H122+H123)/F121,2)</f>
        <v>720.87</v>
      </c>
      <c r="H121" s="58">
        <f>ROUND(G121*F121,2)</f>
        <v>43108.03</v>
      </c>
    </row>
    <row r="122" spans="1:8" x14ac:dyDescent="0.25">
      <c r="A122" s="24"/>
      <c r="B122" s="47" t="s">
        <v>21</v>
      </c>
      <c r="C122" s="25"/>
      <c r="D122" s="26"/>
      <c r="E122" s="27" t="s">
        <v>20</v>
      </c>
      <c r="F122" s="28">
        <f>F121</f>
        <v>59.8</v>
      </c>
      <c r="G122" s="27"/>
      <c r="H122" s="29">
        <f>G122*F122</f>
        <v>0</v>
      </c>
    </row>
    <row r="123" spans="1:8" x14ac:dyDescent="0.25">
      <c r="A123" s="24"/>
      <c r="B123" s="48" t="s">
        <v>22</v>
      </c>
      <c r="C123" s="25"/>
      <c r="D123" s="26"/>
      <c r="E123" s="49"/>
      <c r="F123" s="28"/>
      <c r="G123" s="27">
        <f>H123/F121</f>
        <v>720.87433999999985</v>
      </c>
      <c r="H123" s="29">
        <f>SUM(H124:H126)</f>
        <v>43108.285531999987</v>
      </c>
    </row>
    <row r="124" spans="1:8" ht="25.5" x14ac:dyDescent="0.25">
      <c r="A124" s="24"/>
      <c r="B124" s="50"/>
      <c r="C124" s="50" t="s">
        <v>35</v>
      </c>
      <c r="D124" s="31">
        <v>0.2</v>
      </c>
      <c r="E124" s="32" t="s">
        <v>24</v>
      </c>
      <c r="F124" s="51">
        <f>(D124*F121)</f>
        <v>11.96</v>
      </c>
      <c r="G124" s="52">
        <f>820/16</f>
        <v>51.25</v>
      </c>
      <c r="H124" s="29">
        <f>G124*F124</f>
        <v>612.95000000000005</v>
      </c>
    </row>
    <row r="125" spans="1:8" ht="25.5" x14ac:dyDescent="0.25">
      <c r="A125" s="24"/>
      <c r="B125" s="50"/>
      <c r="C125" s="53" t="s">
        <v>162</v>
      </c>
      <c r="D125" s="31">
        <v>3</v>
      </c>
      <c r="E125" s="32" t="s">
        <v>27</v>
      </c>
      <c r="F125" s="51">
        <f>(F121*D125)</f>
        <v>179.39999999999998</v>
      </c>
      <c r="G125" s="52">
        <f>5746.9/25</f>
        <v>229.87599999999998</v>
      </c>
      <c r="H125" s="29">
        <f>G125*F125</f>
        <v>41239.754399999991</v>
      </c>
    </row>
    <row r="126" spans="1:8" x14ac:dyDescent="0.25">
      <c r="A126" s="30"/>
      <c r="B126" s="50"/>
      <c r="C126" s="50" t="s">
        <v>81</v>
      </c>
      <c r="D126" s="77" t="s">
        <v>82</v>
      </c>
      <c r="E126" s="32"/>
      <c r="F126" s="33"/>
      <c r="G126" s="34"/>
      <c r="H126" s="29">
        <f>SUM(H124:H125)*0.03</f>
        <v>1255.5811319999996</v>
      </c>
    </row>
    <row r="127" spans="1:8" x14ac:dyDescent="0.25">
      <c r="A127" s="35" t="s">
        <v>56</v>
      </c>
      <c r="B127" s="36" t="s">
        <v>89</v>
      </c>
      <c r="C127" s="36"/>
      <c r="D127" s="37"/>
      <c r="E127" s="38"/>
      <c r="F127" s="39"/>
      <c r="G127" s="40"/>
      <c r="H127" s="40">
        <f>H128+H136+H142</f>
        <v>26756.82</v>
      </c>
    </row>
    <row r="128" spans="1:8" x14ac:dyDescent="0.25">
      <c r="A128" s="41" t="s">
        <v>58</v>
      </c>
      <c r="B128" s="42" t="s">
        <v>86</v>
      </c>
      <c r="C128" s="43"/>
      <c r="D128" s="44"/>
      <c r="E128" s="45" t="s">
        <v>20</v>
      </c>
      <c r="F128" s="46">
        <v>27.7</v>
      </c>
      <c r="G128" s="46">
        <f>ROUND((H129+H130)/F128,2)</f>
        <v>122.31</v>
      </c>
      <c r="H128" s="58">
        <f>ROUND(G128*F128,2)</f>
        <v>3387.99</v>
      </c>
    </row>
    <row r="129" spans="1:8" x14ac:dyDescent="0.25">
      <c r="A129" s="24"/>
      <c r="B129" s="47" t="s">
        <v>21</v>
      </c>
      <c r="C129" s="25"/>
      <c r="D129" s="26"/>
      <c r="E129" s="27" t="s">
        <v>20</v>
      </c>
      <c r="F129" s="28">
        <f>F128</f>
        <v>27.7</v>
      </c>
      <c r="G129" s="27"/>
      <c r="H129" s="29">
        <f>G129*F129</f>
        <v>0</v>
      </c>
    </row>
    <row r="130" spans="1:8" x14ac:dyDescent="0.25">
      <c r="A130" s="24"/>
      <c r="B130" s="48" t="s">
        <v>22</v>
      </c>
      <c r="C130" s="25"/>
      <c r="D130" s="26"/>
      <c r="E130" s="49"/>
      <c r="F130" s="28"/>
      <c r="G130" s="27">
        <f>H130/F128</f>
        <v>122.3125</v>
      </c>
      <c r="H130" s="29">
        <f>SUM(H131:H135)</f>
        <v>3388.0562500000001</v>
      </c>
    </row>
    <row r="131" spans="1:8" ht="25.5" x14ac:dyDescent="0.25">
      <c r="A131" s="24"/>
      <c r="B131" s="50"/>
      <c r="C131" s="50" t="s">
        <v>23</v>
      </c>
      <c r="D131" s="31">
        <v>0.15</v>
      </c>
      <c r="E131" s="32" t="s">
        <v>24</v>
      </c>
      <c r="F131" s="51">
        <f>(D131*F128)</f>
        <v>4.1549999999999994</v>
      </c>
      <c r="G131" s="52"/>
      <c r="H131" s="29">
        <f>G131*F131</f>
        <v>0</v>
      </c>
    </row>
    <row r="132" spans="1:8" x14ac:dyDescent="0.25">
      <c r="A132" s="24"/>
      <c r="B132" s="50"/>
      <c r="C132" s="53" t="s">
        <v>176</v>
      </c>
      <c r="D132" s="31">
        <f>0.13*1.05</f>
        <v>0.13650000000000001</v>
      </c>
      <c r="E132" s="32" t="s">
        <v>25</v>
      </c>
      <c r="F132" s="51">
        <f>D132*F128</f>
        <v>3.78105</v>
      </c>
      <c r="G132" s="52"/>
      <c r="H132" s="29">
        <f>G132*F132</f>
        <v>0</v>
      </c>
    </row>
    <row r="133" spans="1:8" x14ac:dyDescent="0.25">
      <c r="A133" s="24"/>
      <c r="B133" s="50"/>
      <c r="C133" s="50" t="s">
        <v>26</v>
      </c>
      <c r="D133" s="31">
        <v>6</v>
      </c>
      <c r="E133" s="32" t="s">
        <v>27</v>
      </c>
      <c r="F133" s="51">
        <f>(D133*F128)</f>
        <v>166.2</v>
      </c>
      <c r="G133" s="52">
        <f>260/25</f>
        <v>10.4</v>
      </c>
      <c r="H133" s="29">
        <f>G133*F133</f>
        <v>1728.48</v>
      </c>
    </row>
    <row r="134" spans="1:8" x14ac:dyDescent="0.25">
      <c r="A134" s="24"/>
      <c r="B134" s="50"/>
      <c r="C134" s="50" t="s">
        <v>157</v>
      </c>
      <c r="D134" s="31">
        <v>7</v>
      </c>
      <c r="E134" s="32" t="s">
        <v>28</v>
      </c>
      <c r="F134" s="51">
        <f>D134*F128</f>
        <v>193.9</v>
      </c>
      <c r="G134" s="52">
        <v>8.0500000000000007</v>
      </c>
      <c r="H134" s="29">
        <f>G134*F134</f>
        <v>1560.8950000000002</v>
      </c>
    </row>
    <row r="135" spans="1:8" x14ac:dyDescent="0.25">
      <c r="A135" s="30"/>
      <c r="B135" s="50"/>
      <c r="C135" s="50" t="s">
        <v>81</v>
      </c>
      <c r="D135" s="77" t="s">
        <v>82</v>
      </c>
      <c r="E135" s="32"/>
      <c r="F135" s="33"/>
      <c r="G135" s="34"/>
      <c r="H135" s="29">
        <f>SUM(H131:H134)*0.03</f>
        <v>98.681249999999991</v>
      </c>
    </row>
    <row r="136" spans="1:8" x14ac:dyDescent="0.25">
      <c r="A136" s="41" t="s">
        <v>62</v>
      </c>
      <c r="B136" s="42" t="s">
        <v>170</v>
      </c>
      <c r="C136" s="43"/>
      <c r="D136" s="44"/>
      <c r="E136" s="45" t="s">
        <v>20</v>
      </c>
      <c r="F136" s="46">
        <f>F128</f>
        <v>27.7</v>
      </c>
      <c r="G136" s="46">
        <f>ROUND((H137+H138)/F136,2)</f>
        <v>122.77</v>
      </c>
      <c r="H136" s="58">
        <f>ROUND(G136*F136,2)</f>
        <v>3400.73</v>
      </c>
    </row>
    <row r="137" spans="1:8" x14ac:dyDescent="0.25">
      <c r="A137" s="24"/>
      <c r="B137" s="47" t="s">
        <v>21</v>
      </c>
      <c r="C137" s="25"/>
      <c r="D137" s="26"/>
      <c r="E137" s="27" t="s">
        <v>20</v>
      </c>
      <c r="F137" s="28">
        <f>F136</f>
        <v>27.7</v>
      </c>
      <c r="G137" s="27"/>
      <c r="H137" s="29">
        <f>G137*F137</f>
        <v>0</v>
      </c>
    </row>
    <row r="138" spans="1:8" x14ac:dyDescent="0.25">
      <c r="A138" s="24"/>
      <c r="B138" s="48" t="s">
        <v>22</v>
      </c>
      <c r="C138" s="25"/>
      <c r="D138" s="26"/>
      <c r="E138" s="49"/>
      <c r="F138" s="28"/>
      <c r="G138" s="27">
        <f>H138/F136</f>
        <v>122.77291000000001</v>
      </c>
      <c r="H138" s="29">
        <f>SUM(H139:H141)</f>
        <v>3400.8096070000001</v>
      </c>
    </row>
    <row r="139" spans="1:8" x14ac:dyDescent="0.25">
      <c r="A139" s="24"/>
      <c r="B139" s="50"/>
      <c r="C139" s="53" t="s">
        <v>30</v>
      </c>
      <c r="D139" s="31">
        <v>5.5</v>
      </c>
      <c r="E139" s="32" t="s">
        <v>27</v>
      </c>
      <c r="F139" s="51">
        <f>(D139*F136)</f>
        <v>152.35</v>
      </c>
      <c r="G139" s="52">
        <f>360/25</f>
        <v>14.4</v>
      </c>
      <c r="H139" s="29">
        <f>G139*F139</f>
        <v>2193.84</v>
      </c>
    </row>
    <row r="140" spans="1:8" ht="25.5" x14ac:dyDescent="0.25">
      <c r="A140" s="24"/>
      <c r="B140" s="50"/>
      <c r="C140" s="50" t="s">
        <v>31</v>
      </c>
      <c r="D140" s="31">
        <v>1.1499999999999999</v>
      </c>
      <c r="E140" s="32" t="s">
        <v>20</v>
      </c>
      <c r="F140" s="51">
        <f>(D140*F136)</f>
        <v>31.854999999999997</v>
      </c>
      <c r="G140" s="52">
        <f>1739/50</f>
        <v>34.78</v>
      </c>
      <c r="H140" s="29">
        <f>G140*F140</f>
        <v>1107.9168999999999</v>
      </c>
    </row>
    <row r="141" spans="1:8" x14ac:dyDescent="0.25">
      <c r="A141" s="30"/>
      <c r="B141" s="50"/>
      <c r="C141" s="50" t="s">
        <v>81</v>
      </c>
      <c r="D141" s="77" t="s">
        <v>82</v>
      </c>
      <c r="E141" s="32"/>
      <c r="F141" s="33"/>
      <c r="G141" s="34"/>
      <c r="H141" s="29">
        <f>SUM(H139:H140)*0.03</f>
        <v>99.052707000000012</v>
      </c>
    </row>
    <row r="142" spans="1:8" x14ac:dyDescent="0.25">
      <c r="A142" s="41" t="s">
        <v>64</v>
      </c>
      <c r="B142" s="42" t="s">
        <v>169</v>
      </c>
      <c r="C142" s="43"/>
      <c r="D142" s="44"/>
      <c r="E142" s="45" t="s">
        <v>20</v>
      </c>
      <c r="F142" s="46">
        <f>F128</f>
        <v>27.7</v>
      </c>
      <c r="G142" s="46">
        <f>ROUND((H143+H144)/F142,2)</f>
        <v>720.87</v>
      </c>
      <c r="H142" s="58">
        <f>ROUND(G142*F142,2)</f>
        <v>19968.099999999999</v>
      </c>
    </row>
    <row r="143" spans="1:8" x14ac:dyDescent="0.25">
      <c r="A143" s="24"/>
      <c r="B143" s="47" t="s">
        <v>21</v>
      </c>
      <c r="C143" s="25"/>
      <c r="D143" s="26"/>
      <c r="E143" s="27" t="s">
        <v>20</v>
      </c>
      <c r="F143" s="28">
        <f>F142</f>
        <v>27.7</v>
      </c>
      <c r="G143" s="27"/>
      <c r="H143" s="29">
        <f>G143*F143</f>
        <v>0</v>
      </c>
    </row>
    <row r="144" spans="1:8" x14ac:dyDescent="0.25">
      <c r="A144" s="24"/>
      <c r="B144" s="48" t="s">
        <v>22</v>
      </c>
      <c r="C144" s="25"/>
      <c r="D144" s="26"/>
      <c r="E144" s="49"/>
      <c r="F144" s="28"/>
      <c r="G144" s="27">
        <f>H144/F142</f>
        <v>720.87433999999985</v>
      </c>
      <c r="H144" s="29">
        <f>SUM(H145:H147)</f>
        <v>19968.219217999995</v>
      </c>
    </row>
    <row r="145" spans="1:8" ht="25.5" x14ac:dyDescent="0.25">
      <c r="A145" s="24"/>
      <c r="B145" s="50"/>
      <c r="C145" s="50" t="s">
        <v>35</v>
      </c>
      <c r="D145" s="31">
        <v>0.2</v>
      </c>
      <c r="E145" s="32" t="s">
        <v>24</v>
      </c>
      <c r="F145" s="51">
        <f>(D145*F142)</f>
        <v>5.54</v>
      </c>
      <c r="G145" s="52">
        <f>820/16</f>
        <v>51.25</v>
      </c>
      <c r="H145" s="29">
        <f>G145*F145</f>
        <v>283.92500000000001</v>
      </c>
    </row>
    <row r="146" spans="1:8" ht="25.5" x14ac:dyDescent="0.25">
      <c r="A146" s="24"/>
      <c r="B146" s="50"/>
      <c r="C146" s="53" t="s">
        <v>162</v>
      </c>
      <c r="D146" s="31">
        <v>3</v>
      </c>
      <c r="E146" s="32" t="s">
        <v>27</v>
      </c>
      <c r="F146" s="51">
        <f>(F142*D146)</f>
        <v>83.1</v>
      </c>
      <c r="G146" s="52">
        <f>5746.9/25</f>
        <v>229.87599999999998</v>
      </c>
      <c r="H146" s="29">
        <f>G146*F146</f>
        <v>19102.695599999995</v>
      </c>
    </row>
    <row r="147" spans="1:8" x14ac:dyDescent="0.25">
      <c r="A147" s="30"/>
      <c r="B147" s="50"/>
      <c r="C147" s="50" t="s">
        <v>81</v>
      </c>
      <c r="D147" s="77" t="s">
        <v>82</v>
      </c>
      <c r="E147" s="32"/>
      <c r="F147" s="33"/>
      <c r="G147" s="34"/>
      <c r="H147" s="29">
        <f>SUM(H145:H146)*0.03</f>
        <v>581.59861799999987</v>
      </c>
    </row>
    <row r="148" spans="1:8" x14ac:dyDescent="0.25">
      <c r="A148" s="35" t="s">
        <v>103</v>
      </c>
      <c r="B148" s="36" t="s">
        <v>90</v>
      </c>
      <c r="C148" s="36"/>
      <c r="D148" s="37"/>
      <c r="E148" s="38"/>
      <c r="F148" s="39"/>
      <c r="G148" s="40"/>
      <c r="H148" s="40">
        <f>H149+H157+H163</f>
        <v>1450944.3699999999</v>
      </c>
    </row>
    <row r="149" spans="1:8" x14ac:dyDescent="0.25">
      <c r="A149" s="41" t="s">
        <v>104</v>
      </c>
      <c r="B149" s="42" t="s">
        <v>86</v>
      </c>
      <c r="C149" s="43"/>
      <c r="D149" s="44"/>
      <c r="E149" s="45" t="s">
        <v>20</v>
      </c>
      <c r="F149" s="46">
        <v>1378.3</v>
      </c>
      <c r="G149" s="46">
        <f>ROUND((H150+H151)/F149,2)</f>
        <v>122.31</v>
      </c>
      <c r="H149" s="58">
        <f>ROUND(G149*F149,2)</f>
        <v>168579.87</v>
      </c>
    </row>
    <row r="150" spans="1:8" x14ac:dyDescent="0.25">
      <c r="A150" s="24"/>
      <c r="B150" s="47" t="s">
        <v>21</v>
      </c>
      <c r="C150" s="25"/>
      <c r="D150" s="26"/>
      <c r="E150" s="27" t="s">
        <v>20</v>
      </c>
      <c r="F150" s="28">
        <f>F149</f>
        <v>1378.3</v>
      </c>
      <c r="G150" s="27"/>
      <c r="H150" s="29">
        <f>G150*F150</f>
        <v>0</v>
      </c>
    </row>
    <row r="151" spans="1:8" x14ac:dyDescent="0.25">
      <c r="A151" s="24"/>
      <c r="B151" s="48" t="s">
        <v>22</v>
      </c>
      <c r="C151" s="25"/>
      <c r="D151" s="26"/>
      <c r="E151" s="49"/>
      <c r="F151" s="28"/>
      <c r="G151" s="27">
        <f>H151/F149</f>
        <v>122.31250000000001</v>
      </c>
      <c r="H151" s="29">
        <f>SUM(H152:H156)</f>
        <v>168583.31875000001</v>
      </c>
    </row>
    <row r="152" spans="1:8" ht="25.5" x14ac:dyDescent="0.25">
      <c r="A152" s="24"/>
      <c r="B152" s="50"/>
      <c r="C152" s="50" t="s">
        <v>23</v>
      </c>
      <c r="D152" s="31">
        <v>0.15</v>
      </c>
      <c r="E152" s="32" t="s">
        <v>24</v>
      </c>
      <c r="F152" s="51">
        <f>(D152*F149)</f>
        <v>206.74499999999998</v>
      </c>
      <c r="G152" s="52"/>
      <c r="H152" s="29">
        <f>G152*F152</f>
        <v>0</v>
      </c>
    </row>
    <row r="153" spans="1:8" x14ac:dyDescent="0.25">
      <c r="A153" s="24"/>
      <c r="B153" s="50"/>
      <c r="C153" s="53" t="s">
        <v>175</v>
      </c>
      <c r="D153" s="31">
        <f>0.15*1.05</f>
        <v>0.1575</v>
      </c>
      <c r="E153" s="32" t="s">
        <v>25</v>
      </c>
      <c r="F153" s="51">
        <f>D153*F149</f>
        <v>217.08224999999999</v>
      </c>
      <c r="G153" s="52"/>
      <c r="H153" s="29">
        <f>G153*F153</f>
        <v>0</v>
      </c>
    </row>
    <row r="154" spans="1:8" x14ac:dyDescent="0.25">
      <c r="A154" s="24"/>
      <c r="B154" s="50"/>
      <c r="C154" s="50" t="s">
        <v>26</v>
      </c>
      <c r="D154" s="31">
        <v>6</v>
      </c>
      <c r="E154" s="32" t="s">
        <v>27</v>
      </c>
      <c r="F154" s="51">
        <f>(D154*F149)</f>
        <v>8269.7999999999993</v>
      </c>
      <c r="G154" s="52">
        <f>260/25</f>
        <v>10.4</v>
      </c>
      <c r="H154" s="29">
        <f>G154*F154</f>
        <v>86005.92</v>
      </c>
    </row>
    <row r="155" spans="1:8" x14ac:dyDescent="0.25">
      <c r="A155" s="24"/>
      <c r="B155" s="50"/>
      <c r="C155" s="50" t="s">
        <v>157</v>
      </c>
      <c r="D155" s="31">
        <v>7</v>
      </c>
      <c r="E155" s="32" t="s">
        <v>28</v>
      </c>
      <c r="F155" s="51">
        <f>D155*F149</f>
        <v>9648.1</v>
      </c>
      <c r="G155" s="52">
        <v>8.0500000000000007</v>
      </c>
      <c r="H155" s="29">
        <f>G155*F155</f>
        <v>77667.205000000016</v>
      </c>
    </row>
    <row r="156" spans="1:8" x14ac:dyDescent="0.25">
      <c r="A156" s="30"/>
      <c r="B156" s="50"/>
      <c r="C156" s="50" t="s">
        <v>81</v>
      </c>
      <c r="D156" s="77" t="s">
        <v>82</v>
      </c>
      <c r="E156" s="32"/>
      <c r="F156" s="33"/>
      <c r="G156" s="34"/>
      <c r="H156" s="29">
        <f>SUM(H152:H155)*0.03</f>
        <v>4910.1937499999995</v>
      </c>
    </row>
    <row r="157" spans="1:8" x14ac:dyDescent="0.25">
      <c r="A157" s="41" t="s">
        <v>105</v>
      </c>
      <c r="B157" s="42" t="s">
        <v>171</v>
      </c>
      <c r="C157" s="43"/>
      <c r="D157" s="44"/>
      <c r="E157" s="45" t="s">
        <v>20</v>
      </c>
      <c r="F157" s="46">
        <f>F149+147.7125</f>
        <v>1526.0125</v>
      </c>
      <c r="G157" s="46">
        <f>ROUND((H158+H159)/F157,2)</f>
        <v>122.77</v>
      </c>
      <c r="H157" s="58">
        <f>ROUND(G157*F157,2)</f>
        <v>187348.55</v>
      </c>
    </row>
    <row r="158" spans="1:8" x14ac:dyDescent="0.25">
      <c r="A158" s="24"/>
      <c r="B158" s="47" t="s">
        <v>21</v>
      </c>
      <c r="C158" s="25"/>
      <c r="D158" s="26"/>
      <c r="E158" s="27" t="s">
        <v>20</v>
      </c>
      <c r="F158" s="28">
        <f>F157</f>
        <v>1526.0125</v>
      </c>
      <c r="G158" s="27"/>
      <c r="H158" s="29">
        <f>G158*F158</f>
        <v>0</v>
      </c>
    </row>
    <row r="159" spans="1:8" x14ac:dyDescent="0.25">
      <c r="A159" s="24"/>
      <c r="B159" s="48" t="s">
        <v>22</v>
      </c>
      <c r="C159" s="25"/>
      <c r="D159" s="26"/>
      <c r="E159" s="49"/>
      <c r="F159" s="28"/>
      <c r="G159" s="27">
        <f>H159/F157</f>
        <v>122.77291</v>
      </c>
      <c r="H159" s="29">
        <f>SUM(H160:H162)</f>
        <v>187352.995321375</v>
      </c>
    </row>
    <row r="160" spans="1:8" x14ac:dyDescent="0.25">
      <c r="A160" s="24"/>
      <c r="B160" s="50"/>
      <c r="C160" s="53" t="s">
        <v>30</v>
      </c>
      <c r="D160" s="31">
        <v>5.5</v>
      </c>
      <c r="E160" s="32" t="s">
        <v>27</v>
      </c>
      <c r="F160" s="51">
        <f>(D160*F157)</f>
        <v>8393.0687500000004</v>
      </c>
      <c r="G160" s="52">
        <f>360/25</f>
        <v>14.4</v>
      </c>
      <c r="H160" s="29">
        <f>G160*F160</f>
        <v>120860.19</v>
      </c>
    </row>
    <row r="161" spans="1:8" ht="25.5" x14ac:dyDescent="0.25">
      <c r="A161" s="24"/>
      <c r="B161" s="50"/>
      <c r="C161" s="50" t="s">
        <v>31</v>
      </c>
      <c r="D161" s="31">
        <v>1.1499999999999999</v>
      </c>
      <c r="E161" s="32" t="s">
        <v>20</v>
      </c>
      <c r="F161" s="51">
        <f>(D161*F157)</f>
        <v>1754.9143749999998</v>
      </c>
      <c r="G161" s="52">
        <f>1739/50</f>
        <v>34.78</v>
      </c>
      <c r="H161" s="29">
        <f>G161*F161</f>
        <v>61035.921962499997</v>
      </c>
    </row>
    <row r="162" spans="1:8" x14ac:dyDescent="0.25">
      <c r="A162" s="30"/>
      <c r="B162" s="50"/>
      <c r="C162" s="50" t="s">
        <v>81</v>
      </c>
      <c r="D162" s="77" t="s">
        <v>82</v>
      </c>
      <c r="E162" s="32"/>
      <c r="F162" s="33"/>
      <c r="G162" s="34"/>
      <c r="H162" s="29">
        <f>SUM(H160:H161)*0.03</f>
        <v>5456.8833588749994</v>
      </c>
    </row>
    <row r="163" spans="1:8" x14ac:dyDescent="0.25">
      <c r="A163" s="41" t="s">
        <v>106</v>
      </c>
      <c r="B163" s="42" t="s">
        <v>169</v>
      </c>
      <c r="C163" s="43"/>
      <c r="D163" s="44"/>
      <c r="E163" s="45" t="s">
        <v>20</v>
      </c>
      <c r="F163" s="46">
        <f>F149+140.72</f>
        <v>1519.02</v>
      </c>
      <c r="G163" s="46">
        <f>ROUND((H164+H165)/F163,2)</f>
        <v>720.87</v>
      </c>
      <c r="H163" s="58">
        <f>ROUND(G163*F163,2)</f>
        <v>1095015.95</v>
      </c>
    </row>
    <row r="164" spans="1:8" x14ac:dyDescent="0.25">
      <c r="A164" s="24"/>
      <c r="B164" s="47" t="s">
        <v>21</v>
      </c>
      <c r="C164" s="25"/>
      <c r="D164" s="26"/>
      <c r="E164" s="27" t="s">
        <v>20</v>
      </c>
      <c r="F164" s="28">
        <f>F163</f>
        <v>1519.02</v>
      </c>
      <c r="G164" s="27"/>
      <c r="H164" s="29">
        <f>G164*F164</f>
        <v>0</v>
      </c>
    </row>
    <row r="165" spans="1:8" x14ac:dyDescent="0.25">
      <c r="A165" s="24"/>
      <c r="B165" s="48" t="s">
        <v>22</v>
      </c>
      <c r="C165" s="25"/>
      <c r="D165" s="26"/>
      <c r="E165" s="49"/>
      <c r="F165" s="28"/>
      <c r="G165" s="27">
        <f>H165/F163</f>
        <v>720.87433999999996</v>
      </c>
      <c r="H165" s="29">
        <f>SUM(H166:H168)</f>
        <v>1095022.5399467999</v>
      </c>
    </row>
    <row r="166" spans="1:8" ht="25.5" x14ac:dyDescent="0.25">
      <c r="A166" s="24"/>
      <c r="B166" s="50"/>
      <c r="C166" s="50" t="s">
        <v>35</v>
      </c>
      <c r="D166" s="31">
        <v>0.2</v>
      </c>
      <c r="E166" s="32" t="s">
        <v>24</v>
      </c>
      <c r="F166" s="51">
        <f>(D166*F163)</f>
        <v>303.80400000000003</v>
      </c>
      <c r="G166" s="52">
        <f>820/16</f>
        <v>51.25</v>
      </c>
      <c r="H166" s="29">
        <f>G166*F166</f>
        <v>15569.955000000002</v>
      </c>
    </row>
    <row r="167" spans="1:8" ht="25.5" x14ac:dyDescent="0.25">
      <c r="A167" s="24"/>
      <c r="B167" s="50"/>
      <c r="C167" s="53" t="s">
        <v>162</v>
      </c>
      <c r="D167" s="31">
        <v>3</v>
      </c>
      <c r="E167" s="32" t="s">
        <v>27</v>
      </c>
      <c r="F167" s="51">
        <f>(F163*D167)</f>
        <v>4557.0599999999995</v>
      </c>
      <c r="G167" s="52">
        <f>5746.9/25</f>
        <v>229.87599999999998</v>
      </c>
      <c r="H167" s="29">
        <f>G167*F167</f>
        <v>1047558.7245599998</v>
      </c>
    </row>
    <row r="168" spans="1:8" x14ac:dyDescent="0.25">
      <c r="A168" s="30"/>
      <c r="B168" s="50"/>
      <c r="C168" s="50" t="s">
        <v>81</v>
      </c>
      <c r="D168" s="77" t="s">
        <v>82</v>
      </c>
      <c r="E168" s="32"/>
      <c r="F168" s="33"/>
      <c r="G168" s="34"/>
      <c r="H168" s="29">
        <f>SUM(H166:H167)*0.03</f>
        <v>31893.860386799995</v>
      </c>
    </row>
    <row r="169" spans="1:8" x14ac:dyDescent="0.25">
      <c r="A169" s="35" t="s">
        <v>107</v>
      </c>
      <c r="B169" s="36" t="s">
        <v>90</v>
      </c>
      <c r="C169" s="36"/>
      <c r="D169" s="37"/>
      <c r="E169" s="38"/>
      <c r="F169" s="39"/>
      <c r="G169" s="40"/>
      <c r="H169" s="40">
        <f>H170+H178+H184</f>
        <v>606520</v>
      </c>
    </row>
    <row r="170" spans="1:8" x14ac:dyDescent="0.25">
      <c r="A170" s="41" t="s">
        <v>108</v>
      </c>
      <c r="B170" s="42" t="s">
        <v>86</v>
      </c>
      <c r="C170" s="43"/>
      <c r="D170" s="44"/>
      <c r="E170" s="45" t="s">
        <v>20</v>
      </c>
      <c r="F170" s="46">
        <v>627.9</v>
      </c>
      <c r="G170" s="46">
        <f>ROUND((H171+H172)/F170,2)</f>
        <v>122.31</v>
      </c>
      <c r="H170" s="58">
        <f>ROUND(G170*F170,2)</f>
        <v>76798.45</v>
      </c>
    </row>
    <row r="171" spans="1:8" x14ac:dyDescent="0.25">
      <c r="A171" s="24"/>
      <c r="B171" s="47" t="s">
        <v>21</v>
      </c>
      <c r="C171" s="25"/>
      <c r="D171" s="26"/>
      <c r="E171" s="27" t="s">
        <v>20</v>
      </c>
      <c r="F171" s="28">
        <f>F170</f>
        <v>627.9</v>
      </c>
      <c r="G171" s="27"/>
      <c r="H171" s="29">
        <f>G171*F171</f>
        <v>0</v>
      </c>
    </row>
    <row r="172" spans="1:8" x14ac:dyDescent="0.25">
      <c r="A172" s="24"/>
      <c r="B172" s="48" t="s">
        <v>22</v>
      </c>
      <c r="C172" s="25"/>
      <c r="D172" s="26"/>
      <c r="E172" s="49"/>
      <c r="F172" s="28"/>
      <c r="G172" s="27">
        <f>H172/F170</f>
        <v>122.31250000000001</v>
      </c>
      <c r="H172" s="29">
        <f>SUM(H173:H177)</f>
        <v>76800.018750000003</v>
      </c>
    </row>
    <row r="173" spans="1:8" ht="25.5" x14ac:dyDescent="0.25">
      <c r="A173" s="24"/>
      <c r="B173" s="50"/>
      <c r="C173" s="50" t="s">
        <v>23</v>
      </c>
      <c r="D173" s="31">
        <v>0.15</v>
      </c>
      <c r="E173" s="32" t="s">
        <v>24</v>
      </c>
      <c r="F173" s="51">
        <f>(D173*F170)</f>
        <v>94.184999999999988</v>
      </c>
      <c r="G173" s="52"/>
      <c r="H173" s="29">
        <f>G173*F173</f>
        <v>0</v>
      </c>
    </row>
    <row r="174" spans="1:8" x14ac:dyDescent="0.25">
      <c r="A174" s="24"/>
      <c r="B174" s="50"/>
      <c r="C174" s="53" t="s">
        <v>174</v>
      </c>
      <c r="D174" s="31">
        <f>0.1*1.05</f>
        <v>0.10500000000000001</v>
      </c>
      <c r="E174" s="32" t="s">
        <v>25</v>
      </c>
      <c r="F174" s="51">
        <f>D174*F170</f>
        <v>65.929500000000004</v>
      </c>
      <c r="G174" s="52"/>
      <c r="H174" s="29">
        <f>G174*F174</f>
        <v>0</v>
      </c>
    </row>
    <row r="175" spans="1:8" x14ac:dyDescent="0.25">
      <c r="A175" s="24"/>
      <c r="B175" s="50"/>
      <c r="C175" s="50" t="s">
        <v>26</v>
      </c>
      <c r="D175" s="31">
        <v>6</v>
      </c>
      <c r="E175" s="32" t="s">
        <v>27</v>
      </c>
      <c r="F175" s="51">
        <f>(D175*F170)</f>
        <v>3767.3999999999996</v>
      </c>
      <c r="G175" s="52">
        <f>260/25</f>
        <v>10.4</v>
      </c>
      <c r="H175" s="29">
        <f>G175*F175</f>
        <v>39180.959999999999</v>
      </c>
    </row>
    <row r="176" spans="1:8" x14ac:dyDescent="0.25">
      <c r="A176" s="24"/>
      <c r="B176" s="50"/>
      <c r="C176" s="50" t="s">
        <v>157</v>
      </c>
      <c r="D176" s="31">
        <v>7</v>
      </c>
      <c r="E176" s="32" t="s">
        <v>28</v>
      </c>
      <c r="F176" s="51">
        <f>D176*F170</f>
        <v>4395.3</v>
      </c>
      <c r="G176" s="52">
        <v>8.0500000000000007</v>
      </c>
      <c r="H176" s="29">
        <f>G176*F176</f>
        <v>35382.165000000008</v>
      </c>
    </row>
    <row r="177" spans="1:8" x14ac:dyDescent="0.25">
      <c r="A177" s="30"/>
      <c r="B177" s="50"/>
      <c r="C177" s="50" t="s">
        <v>81</v>
      </c>
      <c r="D177" s="77" t="s">
        <v>82</v>
      </c>
      <c r="E177" s="32"/>
      <c r="F177" s="33"/>
      <c r="G177" s="34"/>
      <c r="H177" s="29">
        <f>SUM(H173:H176)*0.03</f>
        <v>2236.8937499999997</v>
      </c>
    </row>
    <row r="178" spans="1:8" x14ac:dyDescent="0.25">
      <c r="A178" s="41" t="s">
        <v>109</v>
      </c>
      <c r="B178" s="42" t="s">
        <v>171</v>
      </c>
      <c r="C178" s="43"/>
      <c r="D178" s="44"/>
      <c r="E178" s="45" t="s">
        <v>20</v>
      </c>
      <c r="F178" s="46">
        <f>F170</f>
        <v>627.9</v>
      </c>
      <c r="G178" s="46">
        <f>ROUND((H179+H180)/F178,2)</f>
        <v>122.77</v>
      </c>
      <c r="H178" s="58">
        <f>ROUND(G178*F178,2)</f>
        <v>77087.28</v>
      </c>
    </row>
    <row r="179" spans="1:8" x14ac:dyDescent="0.25">
      <c r="A179" s="24"/>
      <c r="B179" s="47" t="s">
        <v>21</v>
      </c>
      <c r="C179" s="25"/>
      <c r="D179" s="26"/>
      <c r="E179" s="27" t="s">
        <v>20</v>
      </c>
      <c r="F179" s="28">
        <f>F178</f>
        <v>627.9</v>
      </c>
      <c r="G179" s="27"/>
      <c r="H179" s="29">
        <f>G179*F179</f>
        <v>0</v>
      </c>
    </row>
    <row r="180" spans="1:8" x14ac:dyDescent="0.25">
      <c r="A180" s="24"/>
      <c r="B180" s="48" t="s">
        <v>22</v>
      </c>
      <c r="C180" s="25"/>
      <c r="D180" s="26"/>
      <c r="E180" s="49"/>
      <c r="F180" s="28"/>
      <c r="G180" s="27">
        <f>H180/F178</f>
        <v>122.77291</v>
      </c>
      <c r="H180" s="29">
        <f>SUM(H181:H183)</f>
        <v>77089.110188999999</v>
      </c>
    </row>
    <row r="181" spans="1:8" x14ac:dyDescent="0.25">
      <c r="A181" s="24"/>
      <c r="B181" s="50"/>
      <c r="C181" s="53" t="s">
        <v>30</v>
      </c>
      <c r="D181" s="31">
        <v>5.5</v>
      </c>
      <c r="E181" s="32" t="s">
        <v>27</v>
      </c>
      <c r="F181" s="51">
        <f>(D181*F178)</f>
        <v>3453.45</v>
      </c>
      <c r="G181" s="52">
        <f>360/25</f>
        <v>14.4</v>
      </c>
      <c r="H181" s="29">
        <f>G181*F181</f>
        <v>49729.68</v>
      </c>
    </row>
    <row r="182" spans="1:8" ht="25.5" x14ac:dyDescent="0.25">
      <c r="A182" s="24"/>
      <c r="B182" s="50"/>
      <c r="C182" s="50" t="s">
        <v>31</v>
      </c>
      <c r="D182" s="31">
        <v>1.1499999999999999</v>
      </c>
      <c r="E182" s="32" t="s">
        <v>20</v>
      </c>
      <c r="F182" s="51">
        <f>(D182*F178)</f>
        <v>722.08499999999992</v>
      </c>
      <c r="G182" s="52">
        <f>1739/50</f>
        <v>34.78</v>
      </c>
      <c r="H182" s="29">
        <f>G182*F182</f>
        <v>25114.116299999998</v>
      </c>
    </row>
    <row r="183" spans="1:8" x14ac:dyDescent="0.25">
      <c r="A183" s="30"/>
      <c r="B183" s="50"/>
      <c r="C183" s="50" t="s">
        <v>81</v>
      </c>
      <c r="D183" s="77" t="s">
        <v>82</v>
      </c>
      <c r="E183" s="32"/>
      <c r="F183" s="33"/>
      <c r="G183" s="34"/>
      <c r="H183" s="29">
        <f>SUM(H181:H182)*0.03</f>
        <v>2245.313889</v>
      </c>
    </row>
    <row r="184" spans="1:8" x14ac:dyDescent="0.25">
      <c r="A184" s="41" t="s">
        <v>110</v>
      </c>
      <c r="B184" s="42" t="s">
        <v>169</v>
      </c>
      <c r="C184" s="43"/>
      <c r="D184" s="44"/>
      <c r="E184" s="45" t="s">
        <v>20</v>
      </c>
      <c r="F184" s="46">
        <f>F170</f>
        <v>627.9</v>
      </c>
      <c r="G184" s="46">
        <f>ROUND((H185+H186)/F184,2)</f>
        <v>720.87</v>
      </c>
      <c r="H184" s="58">
        <f>ROUND(G184*F184,2)</f>
        <v>452634.27</v>
      </c>
    </row>
    <row r="185" spans="1:8" x14ac:dyDescent="0.25">
      <c r="A185" s="24"/>
      <c r="B185" s="47" t="s">
        <v>21</v>
      </c>
      <c r="C185" s="25"/>
      <c r="D185" s="26"/>
      <c r="E185" s="27" t="s">
        <v>20</v>
      </c>
      <c r="F185" s="28">
        <f>F184</f>
        <v>627.9</v>
      </c>
      <c r="G185" s="27"/>
      <c r="H185" s="29">
        <f>G185*F185</f>
        <v>0</v>
      </c>
    </row>
    <row r="186" spans="1:8" x14ac:dyDescent="0.25">
      <c r="A186" s="24"/>
      <c r="B186" s="48" t="s">
        <v>22</v>
      </c>
      <c r="C186" s="25"/>
      <c r="D186" s="26"/>
      <c r="E186" s="49"/>
      <c r="F186" s="28"/>
      <c r="G186" s="27">
        <f>H186/F184</f>
        <v>720.87433999999985</v>
      </c>
      <c r="H186" s="29">
        <f>SUM(H187:H189)</f>
        <v>452636.99808599992</v>
      </c>
    </row>
    <row r="187" spans="1:8" ht="25.5" x14ac:dyDescent="0.25">
      <c r="A187" s="24"/>
      <c r="B187" s="50"/>
      <c r="C187" s="50" t="s">
        <v>35</v>
      </c>
      <c r="D187" s="31">
        <v>0.2</v>
      </c>
      <c r="E187" s="32" t="s">
        <v>24</v>
      </c>
      <c r="F187" s="51">
        <f>(D187*F184)</f>
        <v>125.58</v>
      </c>
      <c r="G187" s="52">
        <f>820/16</f>
        <v>51.25</v>
      </c>
      <c r="H187" s="29">
        <f>G187*F187</f>
        <v>6435.9750000000004</v>
      </c>
    </row>
    <row r="188" spans="1:8" ht="25.5" x14ac:dyDescent="0.25">
      <c r="A188" s="24"/>
      <c r="B188" s="50"/>
      <c r="C188" s="53" t="s">
        <v>162</v>
      </c>
      <c r="D188" s="31">
        <v>3</v>
      </c>
      <c r="E188" s="32" t="s">
        <v>27</v>
      </c>
      <c r="F188" s="51">
        <f>(F184*D188)</f>
        <v>1883.6999999999998</v>
      </c>
      <c r="G188" s="52">
        <f>5746.9/25</f>
        <v>229.87599999999998</v>
      </c>
      <c r="H188" s="29">
        <f>G188*F188</f>
        <v>433017.42119999992</v>
      </c>
    </row>
    <row r="189" spans="1:8" x14ac:dyDescent="0.25">
      <c r="A189" s="30"/>
      <c r="B189" s="50"/>
      <c r="C189" s="50" t="s">
        <v>81</v>
      </c>
      <c r="D189" s="77" t="s">
        <v>82</v>
      </c>
      <c r="E189" s="32"/>
      <c r="F189" s="33"/>
      <c r="G189" s="34"/>
      <c r="H189" s="29">
        <f>SUM(H187:H188)*0.03</f>
        <v>13183.601885999997</v>
      </c>
    </row>
    <row r="190" spans="1:8" x14ac:dyDescent="0.25">
      <c r="A190" s="35" t="s">
        <v>111</v>
      </c>
      <c r="B190" s="36" t="s">
        <v>92</v>
      </c>
      <c r="C190" s="36"/>
      <c r="D190" s="37"/>
      <c r="E190" s="38"/>
      <c r="F190" s="39"/>
      <c r="G190" s="40"/>
      <c r="H190" s="40">
        <f>H191+H196+H202</f>
        <v>392123.88</v>
      </c>
    </row>
    <row r="191" spans="1:8" x14ac:dyDescent="0.25">
      <c r="A191" s="41" t="s">
        <v>112</v>
      </c>
      <c r="B191" s="42" t="s">
        <v>172</v>
      </c>
      <c r="C191" s="43"/>
      <c r="D191" s="44"/>
      <c r="E191" s="45" t="s">
        <v>20</v>
      </c>
      <c r="F191" s="46">
        <v>464.8</v>
      </c>
      <c r="G191" s="46">
        <f>ROUND((H192+H193)/F191,2)</f>
        <v>0</v>
      </c>
      <c r="H191" s="58">
        <f>ROUND(G191*F191,2)</f>
        <v>0</v>
      </c>
    </row>
    <row r="192" spans="1:8" x14ac:dyDescent="0.25">
      <c r="A192" s="24"/>
      <c r="B192" s="47" t="s">
        <v>21</v>
      </c>
      <c r="C192" s="25"/>
      <c r="D192" s="26"/>
      <c r="E192" s="27" t="s">
        <v>20</v>
      </c>
      <c r="F192" s="28">
        <f>F191</f>
        <v>464.8</v>
      </c>
      <c r="G192" s="27"/>
      <c r="H192" s="29">
        <f>G192*F192</f>
        <v>0</v>
      </c>
    </row>
    <row r="193" spans="1:8" x14ac:dyDescent="0.25">
      <c r="A193" s="24"/>
      <c r="B193" s="48" t="s">
        <v>22</v>
      </c>
      <c r="C193" s="25"/>
      <c r="D193" s="26"/>
      <c r="E193" s="49"/>
      <c r="F193" s="28"/>
      <c r="G193" s="27">
        <f>H193/F191</f>
        <v>0</v>
      </c>
      <c r="H193" s="29">
        <f>SUM(H194:H195)</f>
        <v>0</v>
      </c>
    </row>
    <row r="194" spans="1:8" ht="25.5" x14ac:dyDescent="0.25">
      <c r="A194" s="24"/>
      <c r="B194" s="50"/>
      <c r="C194" s="50" t="s">
        <v>23</v>
      </c>
      <c r="D194" s="31">
        <v>0.15</v>
      </c>
      <c r="E194" s="32" t="s">
        <v>24</v>
      </c>
      <c r="F194" s="51">
        <f>(D194*F191)</f>
        <v>69.72</v>
      </c>
      <c r="G194" s="52"/>
      <c r="H194" s="29">
        <f>G194*F194</f>
        <v>0</v>
      </c>
    </row>
    <row r="195" spans="1:8" x14ac:dyDescent="0.25">
      <c r="A195" s="30"/>
      <c r="B195" s="50"/>
      <c r="C195" s="50" t="s">
        <v>81</v>
      </c>
      <c r="D195" s="77" t="s">
        <v>82</v>
      </c>
      <c r="E195" s="32"/>
      <c r="F195" s="33"/>
      <c r="G195" s="34"/>
      <c r="H195" s="29">
        <f>SUM(H194:H194)*0.03</f>
        <v>0</v>
      </c>
    </row>
    <row r="196" spans="1:8" x14ac:dyDescent="0.25">
      <c r="A196" s="41" t="s">
        <v>113</v>
      </c>
      <c r="B196" s="42" t="s">
        <v>171</v>
      </c>
      <c r="C196" s="43"/>
      <c r="D196" s="44"/>
      <c r="E196" s="45" t="s">
        <v>20</v>
      </c>
      <c r="F196" s="46">
        <f>F191</f>
        <v>464.8</v>
      </c>
      <c r="G196" s="46">
        <f>ROUND((H197+H198)/F196,2)</f>
        <v>122.77</v>
      </c>
      <c r="H196" s="58">
        <f>ROUND(G196*F196,2)</f>
        <v>57063.5</v>
      </c>
    </row>
    <row r="197" spans="1:8" x14ac:dyDescent="0.25">
      <c r="A197" s="24"/>
      <c r="B197" s="47" t="s">
        <v>21</v>
      </c>
      <c r="C197" s="25"/>
      <c r="D197" s="26"/>
      <c r="E197" s="27" t="s">
        <v>20</v>
      </c>
      <c r="F197" s="28">
        <f>F196</f>
        <v>464.8</v>
      </c>
      <c r="G197" s="27"/>
      <c r="H197" s="29">
        <f>G197*F197</f>
        <v>0</v>
      </c>
    </row>
    <row r="198" spans="1:8" x14ac:dyDescent="0.25">
      <c r="A198" s="24"/>
      <c r="B198" s="48" t="s">
        <v>22</v>
      </c>
      <c r="C198" s="25"/>
      <c r="D198" s="26"/>
      <c r="E198" s="49"/>
      <c r="F198" s="28"/>
      <c r="G198" s="27">
        <f>H198/F196</f>
        <v>122.77291</v>
      </c>
      <c r="H198" s="29">
        <f>SUM(H199:H201)</f>
        <v>57064.848568000001</v>
      </c>
    </row>
    <row r="199" spans="1:8" x14ac:dyDescent="0.25">
      <c r="A199" s="24"/>
      <c r="B199" s="50"/>
      <c r="C199" s="53" t="s">
        <v>30</v>
      </c>
      <c r="D199" s="31">
        <v>5.5</v>
      </c>
      <c r="E199" s="32" t="s">
        <v>27</v>
      </c>
      <c r="F199" s="51">
        <f>(D199*F196)</f>
        <v>2556.4</v>
      </c>
      <c r="G199" s="52">
        <f>360/25</f>
        <v>14.4</v>
      </c>
      <c r="H199" s="29">
        <f>G199*F199</f>
        <v>36812.160000000003</v>
      </c>
    </row>
    <row r="200" spans="1:8" ht="25.5" x14ac:dyDescent="0.25">
      <c r="A200" s="24"/>
      <c r="B200" s="50"/>
      <c r="C200" s="50" t="s">
        <v>31</v>
      </c>
      <c r="D200" s="31">
        <v>1.1499999999999999</v>
      </c>
      <c r="E200" s="32" t="s">
        <v>20</v>
      </c>
      <c r="F200" s="51">
        <f>(D200*F196)</f>
        <v>534.52</v>
      </c>
      <c r="G200" s="52">
        <f>1739/50</f>
        <v>34.78</v>
      </c>
      <c r="H200" s="29">
        <f>G200*F200</f>
        <v>18590.605599999999</v>
      </c>
    </row>
    <row r="201" spans="1:8" x14ac:dyDescent="0.25">
      <c r="A201" s="30"/>
      <c r="B201" s="50"/>
      <c r="C201" s="50" t="s">
        <v>81</v>
      </c>
      <c r="D201" s="77" t="s">
        <v>82</v>
      </c>
      <c r="E201" s="32"/>
      <c r="F201" s="33"/>
      <c r="G201" s="34"/>
      <c r="H201" s="29">
        <f>SUM(H199:H200)*0.03</f>
        <v>1662.0829679999999</v>
      </c>
    </row>
    <row r="202" spans="1:8" x14ac:dyDescent="0.25">
      <c r="A202" s="41" t="s">
        <v>114</v>
      </c>
      <c r="B202" s="42" t="s">
        <v>169</v>
      </c>
      <c r="C202" s="43"/>
      <c r="D202" s="44"/>
      <c r="E202" s="45" t="s">
        <v>20</v>
      </c>
      <c r="F202" s="46">
        <f>F191</f>
        <v>464.8</v>
      </c>
      <c r="G202" s="46">
        <f>ROUND((H203+H204)/F202,2)</f>
        <v>720.87</v>
      </c>
      <c r="H202" s="58">
        <f>ROUND(G202*F202,2)</f>
        <v>335060.38</v>
      </c>
    </row>
    <row r="203" spans="1:8" x14ac:dyDescent="0.25">
      <c r="A203" s="24"/>
      <c r="B203" s="47" t="s">
        <v>21</v>
      </c>
      <c r="C203" s="25"/>
      <c r="D203" s="26"/>
      <c r="E203" s="27" t="s">
        <v>20</v>
      </c>
      <c r="F203" s="28">
        <f>F202</f>
        <v>464.8</v>
      </c>
      <c r="G203" s="27"/>
      <c r="H203" s="29">
        <f>G203*F203</f>
        <v>0</v>
      </c>
    </row>
    <row r="204" spans="1:8" x14ac:dyDescent="0.25">
      <c r="A204" s="24"/>
      <c r="B204" s="48" t="s">
        <v>22</v>
      </c>
      <c r="C204" s="25"/>
      <c r="D204" s="26"/>
      <c r="E204" s="49"/>
      <c r="F204" s="28"/>
      <c r="G204" s="27">
        <f>H204/F202</f>
        <v>720.87433999999996</v>
      </c>
      <c r="H204" s="29">
        <f>SUM(H205:H207)</f>
        <v>335062.393232</v>
      </c>
    </row>
    <row r="205" spans="1:8" ht="25.5" x14ac:dyDescent="0.25">
      <c r="A205" s="24"/>
      <c r="B205" s="50"/>
      <c r="C205" s="50" t="s">
        <v>35</v>
      </c>
      <c r="D205" s="31">
        <v>0.2</v>
      </c>
      <c r="E205" s="32" t="s">
        <v>24</v>
      </c>
      <c r="F205" s="51">
        <f>(D205*F202)</f>
        <v>92.960000000000008</v>
      </c>
      <c r="G205" s="52">
        <f>820/16</f>
        <v>51.25</v>
      </c>
      <c r="H205" s="29">
        <f>G205*F205</f>
        <v>4764.2000000000007</v>
      </c>
    </row>
    <row r="206" spans="1:8" ht="25.5" x14ac:dyDescent="0.25">
      <c r="A206" s="24"/>
      <c r="B206" s="50"/>
      <c r="C206" s="53" t="s">
        <v>162</v>
      </c>
      <c r="D206" s="31">
        <v>3</v>
      </c>
      <c r="E206" s="32" t="s">
        <v>27</v>
      </c>
      <c r="F206" s="51">
        <f>(F202*D206)</f>
        <v>1394.4</v>
      </c>
      <c r="G206" s="52">
        <f>5746.9/25</f>
        <v>229.87599999999998</v>
      </c>
      <c r="H206" s="29">
        <f>G206*F206</f>
        <v>320539.0944</v>
      </c>
    </row>
    <row r="207" spans="1:8" x14ac:dyDescent="0.25">
      <c r="A207" s="30"/>
      <c r="B207" s="50"/>
      <c r="C207" s="50" t="s">
        <v>81</v>
      </c>
      <c r="D207" s="77" t="s">
        <v>82</v>
      </c>
      <c r="E207" s="32"/>
      <c r="F207" s="33"/>
      <c r="G207" s="34"/>
      <c r="H207" s="29">
        <f>SUM(H205:H206)*0.03</f>
        <v>9759.0988319999997</v>
      </c>
    </row>
    <row r="208" spans="1:8" x14ac:dyDescent="0.25">
      <c r="A208" s="35" t="s">
        <v>115</v>
      </c>
      <c r="B208" s="36" t="s">
        <v>88</v>
      </c>
      <c r="C208" s="36"/>
      <c r="D208" s="37"/>
      <c r="E208" s="38"/>
      <c r="F208" s="39"/>
      <c r="G208" s="40"/>
      <c r="H208" s="40">
        <f>H209+H217+H223</f>
        <v>96826.66</v>
      </c>
    </row>
    <row r="209" spans="1:8" x14ac:dyDescent="0.25">
      <c r="A209" s="41" t="s">
        <v>116</v>
      </c>
      <c r="B209" s="42" t="s">
        <v>86</v>
      </c>
      <c r="C209" s="43"/>
      <c r="D209" s="44"/>
      <c r="E209" s="45" t="s">
        <v>20</v>
      </c>
      <c r="F209" s="46">
        <v>178</v>
      </c>
      <c r="G209" s="46">
        <f>ROUND((H210+H211)/F209,2)</f>
        <v>122.31</v>
      </c>
      <c r="H209" s="58">
        <f>ROUND(G209*F209,2)</f>
        <v>21771.18</v>
      </c>
    </row>
    <row r="210" spans="1:8" x14ac:dyDescent="0.25">
      <c r="A210" s="24"/>
      <c r="B210" s="47" t="s">
        <v>21</v>
      </c>
      <c r="C210" s="25"/>
      <c r="D210" s="26"/>
      <c r="E210" s="27" t="s">
        <v>20</v>
      </c>
      <c r="F210" s="28">
        <f>F209</f>
        <v>178</v>
      </c>
      <c r="G210" s="27"/>
      <c r="H210" s="29">
        <f>G210*F210</f>
        <v>0</v>
      </c>
    </row>
    <row r="211" spans="1:8" x14ac:dyDescent="0.25">
      <c r="A211" s="24"/>
      <c r="B211" s="48" t="s">
        <v>22</v>
      </c>
      <c r="C211" s="25"/>
      <c r="D211" s="26"/>
      <c r="E211" s="49"/>
      <c r="F211" s="28"/>
      <c r="G211" s="27">
        <f>H211/F209</f>
        <v>122.3125</v>
      </c>
      <c r="H211" s="29">
        <f>SUM(H212:H216)</f>
        <v>21771.625</v>
      </c>
    </row>
    <row r="212" spans="1:8" ht="25.5" x14ac:dyDescent="0.25">
      <c r="A212" s="24"/>
      <c r="B212" s="50"/>
      <c r="C212" s="50" t="s">
        <v>23</v>
      </c>
      <c r="D212" s="31">
        <v>0.15</v>
      </c>
      <c r="E212" s="32" t="s">
        <v>24</v>
      </c>
      <c r="F212" s="51">
        <f>(D212*F209)</f>
        <v>26.7</v>
      </c>
      <c r="G212" s="52"/>
      <c r="H212" s="29">
        <f>G212*F212</f>
        <v>0</v>
      </c>
    </row>
    <row r="213" spans="1:8" x14ac:dyDescent="0.25">
      <c r="A213" s="24"/>
      <c r="B213" s="50"/>
      <c r="C213" s="53" t="s">
        <v>173</v>
      </c>
      <c r="D213" s="31">
        <f>0.13*1.05</f>
        <v>0.13650000000000001</v>
      </c>
      <c r="E213" s="32" t="s">
        <v>25</v>
      </c>
      <c r="F213" s="51">
        <f>D213*F209</f>
        <v>24.297000000000001</v>
      </c>
      <c r="G213" s="52"/>
      <c r="H213" s="29">
        <f>G213*F213</f>
        <v>0</v>
      </c>
    </row>
    <row r="214" spans="1:8" x14ac:dyDescent="0.25">
      <c r="A214" s="24"/>
      <c r="B214" s="50"/>
      <c r="C214" s="50" t="s">
        <v>26</v>
      </c>
      <c r="D214" s="31">
        <v>6</v>
      </c>
      <c r="E214" s="32" t="s">
        <v>27</v>
      </c>
      <c r="F214" s="51">
        <f>(D214*F209)</f>
        <v>1068</v>
      </c>
      <c r="G214" s="52">
        <f>260/25</f>
        <v>10.4</v>
      </c>
      <c r="H214" s="29">
        <f>G214*F214</f>
        <v>11107.2</v>
      </c>
    </row>
    <row r="215" spans="1:8" x14ac:dyDescent="0.25">
      <c r="A215" s="24"/>
      <c r="B215" s="50"/>
      <c r="C215" s="50" t="s">
        <v>157</v>
      </c>
      <c r="D215" s="31">
        <v>7</v>
      </c>
      <c r="E215" s="32" t="s">
        <v>28</v>
      </c>
      <c r="F215" s="51">
        <f>D215*F209</f>
        <v>1246</v>
      </c>
      <c r="G215" s="52">
        <v>8.0500000000000007</v>
      </c>
      <c r="H215" s="29">
        <f>G215*F215</f>
        <v>10030.300000000001</v>
      </c>
    </row>
    <row r="216" spans="1:8" x14ac:dyDescent="0.25">
      <c r="A216" s="30"/>
      <c r="B216" s="50"/>
      <c r="C216" s="50" t="s">
        <v>81</v>
      </c>
      <c r="D216" s="77" t="s">
        <v>82</v>
      </c>
      <c r="E216" s="32"/>
      <c r="F216" s="33"/>
      <c r="G216" s="34"/>
      <c r="H216" s="29">
        <f>SUM(H212:H215)*0.03</f>
        <v>634.125</v>
      </c>
    </row>
    <row r="217" spans="1:8" x14ac:dyDescent="0.25">
      <c r="A217" s="41" t="s">
        <v>117</v>
      </c>
      <c r="B217" s="42" t="s">
        <v>171</v>
      </c>
      <c r="C217" s="43"/>
      <c r="D217" s="44"/>
      <c r="E217" s="45" t="s">
        <v>20</v>
      </c>
      <c r="F217" s="46">
        <f>F209</f>
        <v>178</v>
      </c>
      <c r="G217" s="46">
        <f>ROUND((H218+H219)/F217,2)</f>
        <v>122.77</v>
      </c>
      <c r="H217" s="58">
        <f>ROUND(G217*F217,2)</f>
        <v>21853.06</v>
      </c>
    </row>
    <row r="218" spans="1:8" x14ac:dyDescent="0.25">
      <c r="A218" s="24"/>
      <c r="B218" s="47" t="s">
        <v>21</v>
      </c>
      <c r="C218" s="25"/>
      <c r="D218" s="26"/>
      <c r="E218" s="27" t="s">
        <v>20</v>
      </c>
      <c r="F218" s="28">
        <f>F217</f>
        <v>178</v>
      </c>
      <c r="G218" s="27"/>
      <c r="H218" s="29">
        <f>G218*F218</f>
        <v>0</v>
      </c>
    </row>
    <row r="219" spans="1:8" x14ac:dyDescent="0.25">
      <c r="A219" s="24"/>
      <c r="B219" s="48" t="s">
        <v>22</v>
      </c>
      <c r="C219" s="25"/>
      <c r="D219" s="26"/>
      <c r="E219" s="49"/>
      <c r="F219" s="28"/>
      <c r="G219" s="27">
        <f>H219/F217</f>
        <v>122.77291</v>
      </c>
      <c r="H219" s="29">
        <f>SUM(H220:H222)</f>
        <v>21853.577979999998</v>
      </c>
    </row>
    <row r="220" spans="1:8" x14ac:dyDescent="0.25">
      <c r="A220" s="24"/>
      <c r="B220" s="50"/>
      <c r="C220" s="53" t="s">
        <v>30</v>
      </c>
      <c r="D220" s="31">
        <v>5.5</v>
      </c>
      <c r="E220" s="32" t="s">
        <v>27</v>
      </c>
      <c r="F220" s="51">
        <f>(D220*F217)</f>
        <v>979</v>
      </c>
      <c r="G220" s="52">
        <f>360/25</f>
        <v>14.4</v>
      </c>
      <c r="H220" s="29">
        <f>G220*F220</f>
        <v>14097.6</v>
      </c>
    </row>
    <row r="221" spans="1:8" ht="25.5" x14ac:dyDescent="0.25">
      <c r="A221" s="24"/>
      <c r="B221" s="50"/>
      <c r="C221" s="50" t="s">
        <v>31</v>
      </c>
      <c r="D221" s="31">
        <v>1.1499999999999999</v>
      </c>
      <c r="E221" s="32" t="s">
        <v>20</v>
      </c>
      <c r="F221" s="51">
        <f>(D221*F217)</f>
        <v>204.7</v>
      </c>
      <c r="G221" s="52">
        <f>1739/50</f>
        <v>34.78</v>
      </c>
      <c r="H221" s="29">
        <f>G221*F221</f>
        <v>7119.4659999999994</v>
      </c>
    </row>
    <row r="222" spans="1:8" x14ac:dyDescent="0.25">
      <c r="A222" s="30"/>
      <c r="B222" s="50"/>
      <c r="C222" s="50" t="s">
        <v>81</v>
      </c>
      <c r="D222" s="77" t="s">
        <v>82</v>
      </c>
      <c r="E222" s="32"/>
      <c r="F222" s="33"/>
      <c r="G222" s="34"/>
      <c r="H222" s="29">
        <f>SUM(H220:H221)*0.03</f>
        <v>636.51197999999999</v>
      </c>
    </row>
    <row r="223" spans="1:8" x14ac:dyDescent="0.25">
      <c r="A223" s="41" t="s">
        <v>118</v>
      </c>
      <c r="B223" s="42" t="s">
        <v>169</v>
      </c>
      <c r="C223" s="43"/>
      <c r="D223" s="44"/>
      <c r="E223" s="45" t="s">
        <v>20</v>
      </c>
      <c r="F223" s="46">
        <f>F209</f>
        <v>178</v>
      </c>
      <c r="G223" s="46">
        <f>ROUND((H224+H225)/F223,2)</f>
        <v>298.89</v>
      </c>
      <c r="H223" s="58">
        <f>ROUND(G223*F223,2)</f>
        <v>53202.42</v>
      </c>
    </row>
    <row r="224" spans="1:8" x14ac:dyDescent="0.25">
      <c r="A224" s="24"/>
      <c r="B224" s="47" t="s">
        <v>21</v>
      </c>
      <c r="C224" s="25"/>
      <c r="D224" s="26"/>
      <c r="E224" s="27" t="s">
        <v>20</v>
      </c>
      <c r="F224" s="28">
        <f>F223</f>
        <v>178</v>
      </c>
      <c r="G224" s="27"/>
      <c r="H224" s="29">
        <f>G224*F224</f>
        <v>0</v>
      </c>
    </row>
    <row r="225" spans="1:8" x14ac:dyDescent="0.25">
      <c r="A225" s="24"/>
      <c r="B225" s="48" t="s">
        <v>22</v>
      </c>
      <c r="C225" s="25"/>
      <c r="D225" s="26"/>
      <c r="E225" s="49"/>
      <c r="F225" s="28"/>
      <c r="G225" s="27">
        <f>H225/F223</f>
        <v>298.893125</v>
      </c>
      <c r="H225" s="29">
        <f>SUM(H226:H228)</f>
        <v>53202.97625</v>
      </c>
    </row>
    <row r="226" spans="1:8" ht="25.5" x14ac:dyDescent="0.25">
      <c r="A226" s="24"/>
      <c r="B226" s="50"/>
      <c r="C226" s="50" t="s">
        <v>35</v>
      </c>
      <c r="D226" s="31">
        <v>0.2</v>
      </c>
      <c r="E226" s="32" t="s">
        <v>24</v>
      </c>
      <c r="F226" s="51">
        <f>(D226*F223)</f>
        <v>35.6</v>
      </c>
      <c r="G226" s="52">
        <f>820/16</f>
        <v>51.25</v>
      </c>
      <c r="H226" s="29">
        <f>G226*F226</f>
        <v>1824.5</v>
      </c>
    </row>
    <row r="227" spans="1:8" ht="25.5" x14ac:dyDescent="0.25">
      <c r="A227" s="24"/>
      <c r="B227" s="50"/>
      <c r="C227" s="53" t="s">
        <v>161</v>
      </c>
      <c r="D227" s="31">
        <v>3</v>
      </c>
      <c r="E227" s="32" t="s">
        <v>27</v>
      </c>
      <c r="F227" s="51">
        <f>(F223*D227)</f>
        <v>534</v>
      </c>
      <c r="G227" s="52">
        <f>1493/16</f>
        <v>93.3125</v>
      </c>
      <c r="H227" s="29">
        <f>G227*F227</f>
        <v>49828.875</v>
      </c>
    </row>
    <row r="228" spans="1:8" x14ac:dyDescent="0.25">
      <c r="A228" s="30"/>
      <c r="B228" s="50"/>
      <c r="C228" s="50" t="s">
        <v>81</v>
      </c>
      <c r="D228" s="77" t="s">
        <v>82</v>
      </c>
      <c r="E228" s="32"/>
      <c r="F228" s="33"/>
      <c r="G228" s="34"/>
      <c r="H228" s="29">
        <f>SUM(H226:H227)*0.03</f>
        <v>1549.6012499999999</v>
      </c>
    </row>
    <row r="229" spans="1:8" x14ac:dyDescent="0.25">
      <c r="A229" s="35" t="s">
        <v>119</v>
      </c>
      <c r="B229" s="36" t="s">
        <v>101</v>
      </c>
      <c r="C229" s="36"/>
      <c r="D229" s="37"/>
      <c r="E229" s="38"/>
      <c r="F229" s="39"/>
      <c r="G229" s="40"/>
      <c r="H229" s="40">
        <f>H230+H244+H250+H238</f>
        <v>67911.680000000008</v>
      </c>
    </row>
    <row r="230" spans="1:8" x14ac:dyDescent="0.25">
      <c r="A230" s="41" t="s">
        <v>120</v>
      </c>
      <c r="B230" s="42" t="s">
        <v>78</v>
      </c>
      <c r="C230" s="43"/>
      <c r="D230" s="44"/>
      <c r="E230" s="45" t="s">
        <v>20</v>
      </c>
      <c r="F230" s="46">
        <v>74.8</v>
      </c>
      <c r="G230" s="46">
        <f>ROUND((H231+H232)/F230,2)</f>
        <v>64.27</v>
      </c>
      <c r="H230" s="58">
        <f>ROUND(G230*F230,2)</f>
        <v>4807.3999999999996</v>
      </c>
    </row>
    <row r="231" spans="1:8" x14ac:dyDescent="0.25">
      <c r="A231" s="24"/>
      <c r="B231" s="47" t="s">
        <v>21</v>
      </c>
      <c r="C231" s="25"/>
      <c r="D231" s="26"/>
      <c r="E231" s="27" t="s">
        <v>20</v>
      </c>
      <c r="F231" s="28">
        <f>F230</f>
        <v>74.8</v>
      </c>
      <c r="G231" s="27"/>
      <c r="H231" s="29">
        <f>G231*F231</f>
        <v>0</v>
      </c>
    </row>
    <row r="232" spans="1:8" x14ac:dyDescent="0.25">
      <c r="A232" s="24"/>
      <c r="B232" s="48" t="s">
        <v>22</v>
      </c>
      <c r="C232" s="25"/>
      <c r="D232" s="26"/>
      <c r="E232" s="49"/>
      <c r="F232" s="28"/>
      <c r="G232" s="27">
        <f>H232/F230</f>
        <v>64.271999999999991</v>
      </c>
      <c r="H232" s="29">
        <f>SUM(H233:H237)</f>
        <v>4807.5455999999995</v>
      </c>
    </row>
    <row r="233" spans="1:8" ht="25.5" x14ac:dyDescent="0.25">
      <c r="A233" s="24"/>
      <c r="B233" s="50"/>
      <c r="C233" s="50" t="s">
        <v>23</v>
      </c>
      <c r="D233" s="31">
        <v>0.15</v>
      </c>
      <c r="E233" s="32" t="s">
        <v>24</v>
      </c>
      <c r="F233" s="51">
        <f>D233*F230</f>
        <v>11.219999999999999</v>
      </c>
      <c r="G233" s="52"/>
      <c r="H233" s="29">
        <f>G233*F233</f>
        <v>0</v>
      </c>
    </row>
    <row r="234" spans="1:8" x14ac:dyDescent="0.25">
      <c r="A234" s="24"/>
      <c r="B234" s="50"/>
      <c r="C234" s="50" t="s">
        <v>93</v>
      </c>
      <c r="D234" s="31">
        <f>0.25*1.05</f>
        <v>0.26250000000000001</v>
      </c>
      <c r="E234" s="32" t="s">
        <v>25</v>
      </c>
      <c r="F234" s="51">
        <f>D234*F230</f>
        <v>19.635000000000002</v>
      </c>
      <c r="G234" s="52"/>
      <c r="H234" s="29">
        <f>G234*F234</f>
        <v>0</v>
      </c>
    </row>
    <row r="235" spans="1:8" x14ac:dyDescent="0.25">
      <c r="A235" s="24"/>
      <c r="B235" s="50"/>
      <c r="C235" s="50" t="s">
        <v>26</v>
      </c>
      <c r="D235" s="31">
        <v>6</v>
      </c>
      <c r="E235" s="32" t="s">
        <v>27</v>
      </c>
      <c r="F235" s="51">
        <f>(D235*F230)</f>
        <v>448.79999999999995</v>
      </c>
      <c r="G235" s="52">
        <f>260/25</f>
        <v>10.4</v>
      </c>
      <c r="H235" s="29">
        <f>G235*F235</f>
        <v>4667.5199999999995</v>
      </c>
    </row>
    <row r="236" spans="1:8" x14ac:dyDescent="0.25">
      <c r="A236" s="24"/>
      <c r="B236" s="50"/>
      <c r="C236" s="50" t="s">
        <v>158</v>
      </c>
      <c r="D236" s="31">
        <v>7</v>
      </c>
      <c r="E236" s="32" t="s">
        <v>28</v>
      </c>
      <c r="F236" s="51">
        <f>D236*F230</f>
        <v>523.6</v>
      </c>
      <c r="G236" s="52"/>
      <c r="H236" s="29">
        <f>G236*F236</f>
        <v>0</v>
      </c>
    </row>
    <row r="237" spans="1:8" x14ac:dyDescent="0.25">
      <c r="A237" s="30"/>
      <c r="B237" s="50"/>
      <c r="C237" s="50" t="s">
        <v>81</v>
      </c>
      <c r="D237" s="77" t="s">
        <v>82</v>
      </c>
      <c r="E237" s="32"/>
      <c r="F237" s="33"/>
      <c r="G237" s="34"/>
      <c r="H237" s="29">
        <f>SUM(H233:H236)*0.03</f>
        <v>140.02559999999997</v>
      </c>
    </row>
    <row r="238" spans="1:8" x14ac:dyDescent="0.25">
      <c r="A238" s="41" t="s">
        <v>121</v>
      </c>
      <c r="B238" s="42" t="s">
        <v>79</v>
      </c>
      <c r="C238" s="43"/>
      <c r="D238" s="44"/>
      <c r="E238" s="45" t="s">
        <v>20</v>
      </c>
      <c r="F238" s="46">
        <f>F230</f>
        <v>74.8</v>
      </c>
      <c r="G238" s="46">
        <f>ROUND((H239+H240)/F238,2)</f>
        <v>0</v>
      </c>
      <c r="H238" s="58">
        <f>ROUND(G238*F238,2)</f>
        <v>0</v>
      </c>
    </row>
    <row r="239" spans="1:8" x14ac:dyDescent="0.25">
      <c r="A239" s="24"/>
      <c r="B239" s="47" t="s">
        <v>21</v>
      </c>
      <c r="C239" s="25"/>
      <c r="D239" s="26"/>
      <c r="E239" s="27" t="s">
        <v>20</v>
      </c>
      <c r="F239" s="28">
        <f>F238</f>
        <v>74.8</v>
      </c>
      <c r="G239" s="27"/>
      <c r="H239" s="29">
        <f>G239*F239</f>
        <v>0</v>
      </c>
    </row>
    <row r="240" spans="1:8" x14ac:dyDescent="0.25">
      <c r="A240" s="24"/>
      <c r="B240" s="48" t="s">
        <v>22</v>
      </c>
      <c r="C240" s="25"/>
      <c r="D240" s="26"/>
      <c r="E240" s="49"/>
      <c r="F240" s="28"/>
      <c r="G240" s="27">
        <f>H240/F238</f>
        <v>0</v>
      </c>
      <c r="H240" s="29">
        <f>SUM(H241:H243)</f>
        <v>0</v>
      </c>
    </row>
    <row r="241" spans="1:8" x14ac:dyDescent="0.25">
      <c r="A241" s="24"/>
      <c r="B241" s="50"/>
      <c r="C241" s="50" t="s">
        <v>83</v>
      </c>
      <c r="D241" s="31">
        <f>0.05*1.05</f>
        <v>5.2500000000000005E-2</v>
      </c>
      <c r="E241" s="32" t="s">
        <v>25</v>
      </c>
      <c r="F241" s="78">
        <f>F238*D241</f>
        <v>3.927</v>
      </c>
      <c r="G241" s="52"/>
      <c r="H241" s="29">
        <f>G241*F241</f>
        <v>0</v>
      </c>
    </row>
    <row r="242" spans="1:8" x14ac:dyDescent="0.25">
      <c r="A242" s="24"/>
      <c r="B242" s="50"/>
      <c r="C242" s="50" t="s">
        <v>159</v>
      </c>
      <c r="D242" s="31">
        <v>7</v>
      </c>
      <c r="E242" s="32" t="s">
        <v>28</v>
      </c>
      <c r="F242" s="51">
        <f>F238*D242</f>
        <v>523.6</v>
      </c>
      <c r="G242" s="52"/>
      <c r="H242" s="29">
        <f>G242*F242</f>
        <v>0</v>
      </c>
    </row>
    <row r="243" spans="1:8" x14ac:dyDescent="0.25">
      <c r="A243" s="30"/>
      <c r="B243" s="50"/>
      <c r="C243" s="50" t="s">
        <v>81</v>
      </c>
      <c r="D243" s="77" t="s">
        <v>82</v>
      </c>
      <c r="E243" s="32"/>
      <c r="F243" s="33"/>
      <c r="G243" s="34"/>
      <c r="H243" s="29">
        <f>SUM(H241:H242)*0.03</f>
        <v>0</v>
      </c>
    </row>
    <row r="244" spans="1:8" x14ac:dyDescent="0.25">
      <c r="A244" s="41" t="s">
        <v>122</v>
      </c>
      <c r="B244" s="42" t="s">
        <v>171</v>
      </c>
      <c r="C244" s="43"/>
      <c r="D244" s="44"/>
      <c r="E244" s="45" t="s">
        <v>20</v>
      </c>
      <c r="F244" s="46">
        <f>F230</f>
        <v>74.8</v>
      </c>
      <c r="G244" s="46">
        <f>ROUND((H245+H246)/F244,2)</f>
        <v>122.77</v>
      </c>
      <c r="H244" s="58">
        <f>ROUND(G244*F244,2)</f>
        <v>9183.2000000000007</v>
      </c>
    </row>
    <row r="245" spans="1:8" x14ac:dyDescent="0.25">
      <c r="A245" s="24"/>
      <c r="B245" s="47" t="s">
        <v>21</v>
      </c>
      <c r="C245" s="25"/>
      <c r="D245" s="26"/>
      <c r="E245" s="27" t="s">
        <v>20</v>
      </c>
      <c r="F245" s="28">
        <f>F244</f>
        <v>74.8</v>
      </c>
      <c r="G245" s="27"/>
      <c r="H245" s="29">
        <f>G245*F245</f>
        <v>0</v>
      </c>
    </row>
    <row r="246" spans="1:8" x14ac:dyDescent="0.25">
      <c r="A246" s="24"/>
      <c r="B246" s="48" t="s">
        <v>22</v>
      </c>
      <c r="C246" s="25"/>
      <c r="D246" s="26"/>
      <c r="E246" s="49"/>
      <c r="F246" s="28"/>
      <c r="G246" s="27">
        <f>H246/F244</f>
        <v>122.77291000000002</v>
      </c>
      <c r="H246" s="29">
        <f>SUM(H247:H249)</f>
        <v>9183.4136680000011</v>
      </c>
    </row>
    <row r="247" spans="1:8" x14ac:dyDescent="0.25">
      <c r="A247" s="24"/>
      <c r="B247" s="50"/>
      <c r="C247" s="50" t="s">
        <v>30</v>
      </c>
      <c r="D247" s="31">
        <v>5.5</v>
      </c>
      <c r="E247" s="32" t="s">
        <v>27</v>
      </c>
      <c r="F247" s="51">
        <f>(D247*F244)</f>
        <v>411.4</v>
      </c>
      <c r="G247" s="52">
        <f>360/25</f>
        <v>14.4</v>
      </c>
      <c r="H247" s="29">
        <f>G247*F247</f>
        <v>5924.16</v>
      </c>
    </row>
    <row r="248" spans="1:8" ht="25.5" x14ac:dyDescent="0.25">
      <c r="A248" s="24"/>
      <c r="B248" s="50"/>
      <c r="C248" s="50" t="s">
        <v>31</v>
      </c>
      <c r="D248" s="31">
        <v>1.1499999999999999</v>
      </c>
      <c r="E248" s="32" t="s">
        <v>20</v>
      </c>
      <c r="F248" s="51">
        <f>(D248*F244)</f>
        <v>86.02</v>
      </c>
      <c r="G248" s="52">
        <f>1739/50</f>
        <v>34.78</v>
      </c>
      <c r="H248" s="29">
        <f>G248*F248</f>
        <v>2991.7755999999999</v>
      </c>
    </row>
    <row r="249" spans="1:8" x14ac:dyDescent="0.25">
      <c r="A249" s="30"/>
      <c r="B249" s="50"/>
      <c r="C249" s="50" t="s">
        <v>81</v>
      </c>
      <c r="D249" s="77" t="s">
        <v>82</v>
      </c>
      <c r="E249" s="32"/>
      <c r="F249" s="33"/>
      <c r="G249" s="34"/>
      <c r="H249" s="29">
        <f>SUM(H247:H248)*0.03</f>
        <v>267.47806800000001</v>
      </c>
    </row>
    <row r="250" spans="1:8" x14ac:dyDescent="0.25">
      <c r="A250" s="41" t="s">
        <v>123</v>
      </c>
      <c r="B250" s="42" t="s">
        <v>169</v>
      </c>
      <c r="C250" s="43"/>
      <c r="D250" s="44"/>
      <c r="E250" s="45" t="s">
        <v>20</v>
      </c>
      <c r="F250" s="46">
        <f>F230</f>
        <v>74.8</v>
      </c>
      <c r="G250" s="46">
        <f>ROUND((H251+H252)/F250,2)</f>
        <v>720.87</v>
      </c>
      <c r="H250" s="58">
        <f>ROUND(G250*F250,2)</f>
        <v>53921.08</v>
      </c>
    </row>
    <row r="251" spans="1:8" x14ac:dyDescent="0.25">
      <c r="A251" s="24"/>
      <c r="B251" s="47" t="s">
        <v>21</v>
      </c>
      <c r="C251" s="25"/>
      <c r="D251" s="26"/>
      <c r="E251" s="27" t="s">
        <v>20</v>
      </c>
      <c r="F251" s="28">
        <f>F250</f>
        <v>74.8</v>
      </c>
      <c r="G251" s="27"/>
      <c r="H251" s="29">
        <f>G251*F251</f>
        <v>0</v>
      </c>
    </row>
    <row r="252" spans="1:8" x14ac:dyDescent="0.25">
      <c r="A252" s="24"/>
      <c r="B252" s="48" t="s">
        <v>22</v>
      </c>
      <c r="C252" s="25"/>
      <c r="D252" s="26"/>
      <c r="E252" s="49"/>
      <c r="F252" s="28"/>
      <c r="G252" s="27">
        <f>H252/F250</f>
        <v>720.87433999999985</v>
      </c>
      <c r="H252" s="29">
        <f>SUM(H253:H255)</f>
        <v>53921.400631999983</v>
      </c>
    </row>
    <row r="253" spans="1:8" ht="25.5" x14ac:dyDescent="0.25">
      <c r="A253" s="24"/>
      <c r="B253" s="50"/>
      <c r="C253" s="50" t="s">
        <v>35</v>
      </c>
      <c r="D253" s="31">
        <v>0.2</v>
      </c>
      <c r="E253" s="32" t="s">
        <v>24</v>
      </c>
      <c r="F253" s="51">
        <f>(D253*F250)</f>
        <v>14.96</v>
      </c>
      <c r="G253" s="52">
        <f>820/16</f>
        <v>51.25</v>
      </c>
      <c r="H253" s="29">
        <f>G253*F253</f>
        <v>766.7</v>
      </c>
    </row>
    <row r="254" spans="1:8" ht="25.5" x14ac:dyDescent="0.25">
      <c r="A254" s="24"/>
      <c r="B254" s="50"/>
      <c r="C254" s="53" t="s">
        <v>162</v>
      </c>
      <c r="D254" s="31">
        <v>3</v>
      </c>
      <c r="E254" s="32" t="s">
        <v>27</v>
      </c>
      <c r="F254" s="51">
        <f>F250*D254</f>
        <v>224.39999999999998</v>
      </c>
      <c r="G254" s="52">
        <f>5746.9/25</f>
        <v>229.87599999999998</v>
      </c>
      <c r="H254" s="29">
        <f>G254*F254</f>
        <v>51584.174399999989</v>
      </c>
    </row>
    <row r="255" spans="1:8" x14ac:dyDescent="0.25">
      <c r="A255" s="30"/>
      <c r="B255" s="50"/>
      <c r="C255" s="50" t="s">
        <v>81</v>
      </c>
      <c r="D255" s="77" t="s">
        <v>82</v>
      </c>
      <c r="E255" s="32"/>
      <c r="F255" s="33"/>
      <c r="G255" s="34"/>
      <c r="H255" s="29">
        <f>SUM(H253:H254)*0.03</f>
        <v>1570.5262319999995</v>
      </c>
    </row>
    <row r="256" spans="1:8" x14ac:dyDescent="0.25">
      <c r="A256" s="35" t="s">
        <v>124</v>
      </c>
      <c r="B256" s="36" t="s">
        <v>163</v>
      </c>
      <c r="C256" s="36"/>
      <c r="D256" s="37"/>
      <c r="E256" s="38"/>
      <c r="F256" s="39"/>
      <c r="G256" s="40"/>
      <c r="H256" s="40">
        <f>H257+H263</f>
        <v>34675.769999999997</v>
      </c>
    </row>
    <row r="257" spans="1:8" x14ac:dyDescent="0.25">
      <c r="A257" s="41" t="s">
        <v>125</v>
      </c>
      <c r="B257" s="42" t="s">
        <v>177</v>
      </c>
      <c r="C257" s="43"/>
      <c r="D257" s="44"/>
      <c r="E257" s="45" t="s">
        <v>20</v>
      </c>
      <c r="F257" s="46">
        <v>13.9</v>
      </c>
      <c r="G257" s="46">
        <f>ROUND((H258+H259)/F257,2)</f>
        <v>0</v>
      </c>
      <c r="H257" s="58">
        <f>ROUND(G257*F257,2)</f>
        <v>0</v>
      </c>
    </row>
    <row r="258" spans="1:8" x14ac:dyDescent="0.25">
      <c r="A258" s="24"/>
      <c r="B258" s="47" t="s">
        <v>21</v>
      </c>
      <c r="C258" s="25"/>
      <c r="D258" s="26"/>
      <c r="E258" s="27" t="s">
        <v>20</v>
      </c>
      <c r="F258" s="28">
        <f>F257</f>
        <v>13.9</v>
      </c>
      <c r="G258" s="27"/>
      <c r="H258" s="29">
        <f>G258*F258</f>
        <v>0</v>
      </c>
    </row>
    <row r="259" spans="1:8" x14ac:dyDescent="0.25">
      <c r="A259" s="24"/>
      <c r="B259" s="48" t="s">
        <v>22</v>
      </c>
      <c r="C259" s="25"/>
      <c r="D259" s="26"/>
      <c r="E259" s="49"/>
      <c r="F259" s="28"/>
      <c r="G259" s="27">
        <f>H259/F257</f>
        <v>0</v>
      </c>
      <c r="H259" s="29">
        <f>SUM(H260:H262)</f>
        <v>0</v>
      </c>
    </row>
    <row r="260" spans="1:8" x14ac:dyDescent="0.25">
      <c r="A260" s="24"/>
      <c r="B260" s="50"/>
      <c r="C260" s="53" t="s">
        <v>38</v>
      </c>
      <c r="D260" s="31">
        <v>1.2</v>
      </c>
      <c r="E260" s="32" t="s">
        <v>20</v>
      </c>
      <c r="F260" s="51">
        <f>(D260*F257)</f>
        <v>16.68</v>
      </c>
      <c r="G260" s="52"/>
      <c r="H260" s="29">
        <f>G260*F260</f>
        <v>0</v>
      </c>
    </row>
    <row r="261" spans="1:8" x14ac:dyDescent="0.25">
      <c r="A261" s="24"/>
      <c r="B261" s="50"/>
      <c r="C261" s="53" t="s">
        <v>39</v>
      </c>
      <c r="D261" s="31">
        <v>7</v>
      </c>
      <c r="E261" s="32" t="s">
        <v>28</v>
      </c>
      <c r="F261" s="51">
        <f>(D261*F257)</f>
        <v>97.3</v>
      </c>
      <c r="G261" s="52"/>
      <c r="H261" s="29">
        <f>G261*F261</f>
        <v>0</v>
      </c>
    </row>
    <row r="262" spans="1:8" x14ac:dyDescent="0.25">
      <c r="A262" s="30"/>
      <c r="B262" s="50"/>
      <c r="C262" s="50" t="s">
        <v>81</v>
      </c>
      <c r="D262" s="77" t="s">
        <v>82</v>
      </c>
      <c r="E262" s="32"/>
      <c r="F262" s="33"/>
      <c r="G262" s="34"/>
      <c r="H262" s="29">
        <f>SUM(H260:H261)*0.03</f>
        <v>0</v>
      </c>
    </row>
    <row r="263" spans="1:8" x14ac:dyDescent="0.25">
      <c r="A263" s="41" t="s">
        <v>126</v>
      </c>
      <c r="B263" s="42" t="s">
        <v>178</v>
      </c>
      <c r="C263" s="43"/>
      <c r="D263" s="44"/>
      <c r="E263" s="45" t="s">
        <v>20</v>
      </c>
      <c r="F263" s="46">
        <f>F257</f>
        <v>13.9</v>
      </c>
      <c r="G263" s="46">
        <f>ROUND((H264+H265)/F263,2)</f>
        <v>2494.66</v>
      </c>
      <c r="H263" s="58">
        <f>ROUND(G263*F263,2)</f>
        <v>34675.769999999997</v>
      </c>
    </row>
    <row r="264" spans="1:8" x14ac:dyDescent="0.25">
      <c r="A264" s="24"/>
      <c r="B264" s="47" t="s">
        <v>21</v>
      </c>
      <c r="C264" s="25"/>
      <c r="D264" s="26"/>
      <c r="E264" s="27" t="s">
        <v>20</v>
      </c>
      <c r="F264" s="28">
        <f>F263</f>
        <v>13.9</v>
      </c>
      <c r="G264" s="27"/>
      <c r="H264" s="29">
        <f>G264*F264</f>
        <v>0</v>
      </c>
    </row>
    <row r="265" spans="1:8" x14ac:dyDescent="0.25">
      <c r="A265" s="24"/>
      <c r="B265" s="48" t="s">
        <v>22</v>
      </c>
      <c r="C265" s="25"/>
      <c r="D265" s="26"/>
      <c r="E265" s="49"/>
      <c r="F265" s="28"/>
      <c r="G265" s="27">
        <f>H265/F263</f>
        <v>2494.6600000000003</v>
      </c>
      <c r="H265" s="29">
        <f>SUM(H266:H267)</f>
        <v>34675.774000000005</v>
      </c>
    </row>
    <row r="266" spans="1:8" x14ac:dyDescent="0.25">
      <c r="A266" s="24"/>
      <c r="B266" s="50"/>
      <c r="C266" s="50" t="s">
        <v>42</v>
      </c>
      <c r="D266" s="31">
        <v>1.4</v>
      </c>
      <c r="E266" s="32" t="s">
        <v>20</v>
      </c>
      <c r="F266" s="51">
        <f>(D266*F263)</f>
        <v>19.46</v>
      </c>
      <c r="G266" s="52">
        <v>1730</v>
      </c>
      <c r="H266" s="29">
        <f>G266*F266</f>
        <v>33665.800000000003</v>
      </c>
    </row>
    <row r="267" spans="1:8" x14ac:dyDescent="0.25">
      <c r="A267" s="30"/>
      <c r="B267" s="50"/>
      <c r="C267" s="50" t="s">
        <v>81</v>
      </c>
      <c r="D267" s="77" t="s">
        <v>82</v>
      </c>
      <c r="E267" s="32"/>
      <c r="F267" s="33"/>
      <c r="G267" s="34"/>
      <c r="H267" s="29">
        <f>SUM(H266)*0.03</f>
        <v>1009.974</v>
      </c>
    </row>
    <row r="268" spans="1:8" x14ac:dyDescent="0.25">
      <c r="A268" s="35" t="s">
        <v>131</v>
      </c>
      <c r="B268" s="36" t="s">
        <v>165</v>
      </c>
      <c r="C268" s="36"/>
      <c r="D268" s="37"/>
      <c r="E268" s="38"/>
      <c r="F268" s="39"/>
      <c r="G268" s="40"/>
      <c r="H268" s="40">
        <f>H269+H275+H281</f>
        <v>5447831.1599999992</v>
      </c>
    </row>
    <row r="269" spans="1:8" x14ac:dyDescent="0.25">
      <c r="A269" s="41" t="s">
        <v>132</v>
      </c>
      <c r="B269" s="42" t="s">
        <v>181</v>
      </c>
      <c r="C269" s="43"/>
      <c r="D269" s="44"/>
      <c r="E269" s="45" t="s">
        <v>20</v>
      </c>
      <c r="F269" s="46">
        <v>2086.6999999999998</v>
      </c>
      <c r="G269" s="46">
        <f>ROUND((H270+H271)/F269,2)</f>
        <v>0</v>
      </c>
      <c r="H269" s="58">
        <f>ROUND(G269*F269,2)</f>
        <v>0</v>
      </c>
    </row>
    <row r="270" spans="1:8" x14ac:dyDescent="0.25">
      <c r="A270" s="24"/>
      <c r="B270" s="47" t="s">
        <v>21</v>
      </c>
      <c r="C270" s="25"/>
      <c r="D270" s="26"/>
      <c r="E270" s="27" t="s">
        <v>20</v>
      </c>
      <c r="F270" s="28">
        <f>F269</f>
        <v>2086.6999999999998</v>
      </c>
      <c r="G270" s="27"/>
      <c r="H270" s="29">
        <f>G270*F270</f>
        <v>0</v>
      </c>
    </row>
    <row r="271" spans="1:8" x14ac:dyDescent="0.25">
      <c r="A271" s="24"/>
      <c r="B271" s="48" t="s">
        <v>22</v>
      </c>
      <c r="C271" s="25"/>
      <c r="D271" s="26"/>
      <c r="E271" s="49"/>
      <c r="F271" s="28"/>
      <c r="G271" s="27">
        <f>H271/F269</f>
        <v>0</v>
      </c>
      <c r="H271" s="29">
        <f>SUM(H272:H274)</f>
        <v>0</v>
      </c>
    </row>
    <row r="272" spans="1:8" x14ac:dyDescent="0.25">
      <c r="A272" s="24"/>
      <c r="B272" s="50"/>
      <c r="C272" s="53" t="s">
        <v>38</v>
      </c>
      <c r="D272" s="31">
        <v>1.2</v>
      </c>
      <c r="E272" s="32" t="s">
        <v>20</v>
      </c>
      <c r="F272" s="51">
        <f>(D272*F269)</f>
        <v>2504.0399999999995</v>
      </c>
      <c r="G272" s="52"/>
      <c r="H272" s="29">
        <f>G272*F272</f>
        <v>0</v>
      </c>
    </row>
    <row r="273" spans="1:8" x14ac:dyDescent="0.25">
      <c r="A273" s="24"/>
      <c r="B273" s="50"/>
      <c r="C273" s="53" t="s">
        <v>39</v>
      </c>
      <c r="D273" s="31">
        <v>7</v>
      </c>
      <c r="E273" s="32" t="s">
        <v>28</v>
      </c>
      <c r="F273" s="51">
        <f>(D273*F269)</f>
        <v>14606.899999999998</v>
      </c>
      <c r="G273" s="52"/>
      <c r="H273" s="29">
        <f>G273*F273</f>
        <v>0</v>
      </c>
    </row>
    <row r="274" spans="1:8" x14ac:dyDescent="0.25">
      <c r="A274" s="30"/>
      <c r="B274" s="50"/>
      <c r="C274" s="50" t="s">
        <v>81</v>
      </c>
      <c r="D274" s="77" t="s">
        <v>82</v>
      </c>
      <c r="E274" s="32"/>
      <c r="F274" s="33"/>
      <c r="G274" s="34"/>
      <c r="H274" s="29">
        <f>SUM(H272:H273)*0.03</f>
        <v>0</v>
      </c>
    </row>
    <row r="275" spans="1:8" x14ac:dyDescent="0.25">
      <c r="A275" s="41" t="s">
        <v>133</v>
      </c>
      <c r="B275" s="42" t="s">
        <v>86</v>
      </c>
      <c r="C275" s="43"/>
      <c r="D275" s="44"/>
      <c r="E275" s="45" t="s">
        <v>20</v>
      </c>
      <c r="F275" s="46">
        <f>F269</f>
        <v>2086.6999999999998</v>
      </c>
      <c r="G275" s="46">
        <f>ROUND((H276+H277)/F275,2)</f>
        <v>116.08</v>
      </c>
      <c r="H275" s="58">
        <f>ROUND(G275*F275,2)</f>
        <v>242224.14</v>
      </c>
    </row>
    <row r="276" spans="1:8" x14ac:dyDescent="0.25">
      <c r="A276" s="24"/>
      <c r="B276" s="47" t="s">
        <v>21</v>
      </c>
      <c r="C276" s="25"/>
      <c r="D276" s="26"/>
      <c r="E276" s="27" t="s">
        <v>20</v>
      </c>
      <c r="F276" s="28">
        <f>F275</f>
        <v>2086.6999999999998</v>
      </c>
      <c r="G276" s="27"/>
      <c r="H276" s="29">
        <f>G276*F276</f>
        <v>0</v>
      </c>
    </row>
    <row r="277" spans="1:8" x14ac:dyDescent="0.25">
      <c r="A277" s="24"/>
      <c r="B277" s="48" t="s">
        <v>22</v>
      </c>
      <c r="C277" s="25"/>
      <c r="D277" s="26"/>
      <c r="E277" s="49"/>
      <c r="F277" s="28"/>
      <c r="G277" s="27">
        <f>H277/F275</f>
        <v>116.081</v>
      </c>
      <c r="H277" s="29">
        <f>SUM(H278:H280)</f>
        <v>242226.22269999998</v>
      </c>
    </row>
    <row r="278" spans="1:8" x14ac:dyDescent="0.25">
      <c r="A278" s="24"/>
      <c r="B278" s="50"/>
      <c r="C278" s="50" t="s">
        <v>182</v>
      </c>
      <c r="D278" s="31">
        <f>0.15*1.05</f>
        <v>0.1575</v>
      </c>
      <c r="E278" s="32" t="s">
        <v>25</v>
      </c>
      <c r="F278" s="51">
        <f>(D278*F275)</f>
        <v>328.65524999999997</v>
      </c>
      <c r="G278" s="52"/>
      <c r="H278" s="29">
        <f>G278*F278</f>
        <v>0</v>
      </c>
    </row>
    <row r="279" spans="1:8" x14ac:dyDescent="0.25">
      <c r="A279" s="24"/>
      <c r="B279" s="50"/>
      <c r="C279" s="50" t="s">
        <v>157</v>
      </c>
      <c r="D279" s="31">
        <v>14</v>
      </c>
      <c r="E279" s="32" t="s">
        <v>28</v>
      </c>
      <c r="F279" s="51">
        <f>(D279*F275)</f>
        <v>29213.799999999996</v>
      </c>
      <c r="G279" s="52">
        <v>8.0500000000000007</v>
      </c>
      <c r="H279" s="29">
        <f>G279*F279</f>
        <v>235171.09</v>
      </c>
    </row>
    <row r="280" spans="1:8" x14ac:dyDescent="0.25">
      <c r="A280" s="30"/>
      <c r="B280" s="50"/>
      <c r="C280" s="50" t="s">
        <v>81</v>
      </c>
      <c r="D280" s="77" t="s">
        <v>82</v>
      </c>
      <c r="E280" s="32"/>
      <c r="F280" s="33"/>
      <c r="G280" s="34"/>
      <c r="H280" s="29">
        <f>SUM(H278:H279)*0.03</f>
        <v>7055.1326999999992</v>
      </c>
    </row>
    <row r="281" spans="1:8" x14ac:dyDescent="0.25">
      <c r="A281" s="41" t="s">
        <v>134</v>
      </c>
      <c r="B281" s="42" t="s">
        <v>178</v>
      </c>
      <c r="C281" s="43"/>
      <c r="D281" s="44"/>
      <c r="E281" s="45" t="s">
        <v>20</v>
      </c>
      <c r="F281" s="46">
        <f>F269</f>
        <v>2086.6999999999998</v>
      </c>
      <c r="G281" s="46">
        <f>ROUND((H282+H283)/F281,2)</f>
        <v>2494.66</v>
      </c>
      <c r="H281" s="58">
        <f>ROUND(G281*F281,2)</f>
        <v>5205607.0199999996</v>
      </c>
    </row>
    <row r="282" spans="1:8" x14ac:dyDescent="0.25">
      <c r="A282" s="24"/>
      <c r="B282" s="47" t="s">
        <v>21</v>
      </c>
      <c r="C282" s="25"/>
      <c r="D282" s="26"/>
      <c r="E282" s="27" t="s">
        <v>20</v>
      </c>
      <c r="F282" s="28">
        <f>F281</f>
        <v>2086.6999999999998</v>
      </c>
      <c r="G282" s="27"/>
      <c r="H282" s="29">
        <f>G282*F282</f>
        <v>0</v>
      </c>
    </row>
    <row r="283" spans="1:8" x14ac:dyDescent="0.25">
      <c r="A283" s="24"/>
      <c r="B283" s="48" t="s">
        <v>22</v>
      </c>
      <c r="C283" s="25"/>
      <c r="D283" s="26"/>
      <c r="E283" s="49"/>
      <c r="F283" s="28"/>
      <c r="G283" s="27">
        <f>H283/F281</f>
        <v>2494.6600000000003</v>
      </c>
      <c r="H283" s="29">
        <f>SUM(H284:H285)</f>
        <v>5205607.0219999999</v>
      </c>
    </row>
    <row r="284" spans="1:8" x14ac:dyDescent="0.25">
      <c r="A284" s="24"/>
      <c r="B284" s="50"/>
      <c r="C284" s="50" t="s">
        <v>42</v>
      </c>
      <c r="D284" s="31">
        <v>1.4</v>
      </c>
      <c r="E284" s="32" t="s">
        <v>20</v>
      </c>
      <c r="F284" s="51">
        <f>(D284*F281)</f>
        <v>2921.3799999999997</v>
      </c>
      <c r="G284" s="52">
        <v>1730</v>
      </c>
      <c r="H284" s="29">
        <f>G284*F284</f>
        <v>5053987.3999999994</v>
      </c>
    </row>
    <row r="285" spans="1:8" x14ac:dyDescent="0.25">
      <c r="A285" s="30"/>
      <c r="B285" s="50"/>
      <c r="C285" s="50" t="s">
        <v>81</v>
      </c>
      <c r="D285" s="77" t="s">
        <v>82</v>
      </c>
      <c r="E285" s="32"/>
      <c r="F285" s="33"/>
      <c r="G285" s="34"/>
      <c r="H285" s="29">
        <f>SUM(H284)*0.03</f>
        <v>151619.62199999997</v>
      </c>
    </row>
    <row r="286" spans="1:8" x14ac:dyDescent="0.25">
      <c r="A286" s="35" t="s">
        <v>127</v>
      </c>
      <c r="B286" s="36" t="s">
        <v>166</v>
      </c>
      <c r="C286" s="36"/>
      <c r="D286" s="37"/>
      <c r="E286" s="38"/>
      <c r="F286" s="39"/>
      <c r="G286" s="40"/>
      <c r="H286" s="40">
        <f>H287+H293+H299</f>
        <v>533635.25</v>
      </c>
    </row>
    <row r="287" spans="1:8" x14ac:dyDescent="0.25">
      <c r="A287" s="41" t="s">
        <v>128</v>
      </c>
      <c r="B287" s="42" t="s">
        <v>177</v>
      </c>
      <c r="C287" s="43"/>
      <c r="D287" s="44"/>
      <c r="E287" s="45" t="s">
        <v>20</v>
      </c>
      <c r="F287" s="46">
        <v>204.4</v>
      </c>
      <c r="G287" s="46">
        <f>ROUND((H288+H289)/F287,2)</f>
        <v>0</v>
      </c>
      <c r="H287" s="58">
        <f>ROUND(G287*F287,2)</f>
        <v>0</v>
      </c>
    </row>
    <row r="288" spans="1:8" x14ac:dyDescent="0.25">
      <c r="A288" s="24"/>
      <c r="B288" s="47" t="s">
        <v>21</v>
      </c>
      <c r="C288" s="25"/>
      <c r="D288" s="26"/>
      <c r="E288" s="27" t="s">
        <v>20</v>
      </c>
      <c r="F288" s="28">
        <f>F287</f>
        <v>204.4</v>
      </c>
      <c r="G288" s="27"/>
      <c r="H288" s="29">
        <f>G288*F288</f>
        <v>0</v>
      </c>
    </row>
    <row r="289" spans="1:8" x14ac:dyDescent="0.25">
      <c r="A289" s="24"/>
      <c r="B289" s="48" t="s">
        <v>22</v>
      </c>
      <c r="C289" s="25"/>
      <c r="D289" s="26"/>
      <c r="E289" s="49"/>
      <c r="F289" s="28"/>
      <c r="G289" s="27">
        <f>H289/F287</f>
        <v>0</v>
      </c>
      <c r="H289" s="29">
        <f>SUM(H290:H292)</f>
        <v>0</v>
      </c>
    </row>
    <row r="290" spans="1:8" x14ac:dyDescent="0.25">
      <c r="A290" s="24"/>
      <c r="B290" s="50"/>
      <c r="C290" s="53" t="s">
        <v>38</v>
      </c>
      <c r="D290" s="31">
        <v>1.2</v>
      </c>
      <c r="E290" s="32" t="s">
        <v>20</v>
      </c>
      <c r="F290" s="51">
        <f>(D290*F287)</f>
        <v>245.28</v>
      </c>
      <c r="G290" s="52"/>
      <c r="H290" s="29">
        <f>G290*F290</f>
        <v>0</v>
      </c>
    </row>
    <row r="291" spans="1:8" x14ac:dyDescent="0.25">
      <c r="A291" s="24"/>
      <c r="B291" s="50"/>
      <c r="C291" s="53" t="s">
        <v>39</v>
      </c>
      <c r="D291" s="31">
        <v>7</v>
      </c>
      <c r="E291" s="32" t="s">
        <v>28</v>
      </c>
      <c r="F291" s="51">
        <f>(D291*F287)</f>
        <v>1430.8</v>
      </c>
      <c r="G291" s="52"/>
      <c r="H291" s="29">
        <f>G291*F291</f>
        <v>0</v>
      </c>
    </row>
    <row r="292" spans="1:8" x14ac:dyDescent="0.25">
      <c r="A292" s="30"/>
      <c r="B292" s="50"/>
      <c r="C292" s="50" t="s">
        <v>81</v>
      </c>
      <c r="D292" s="77" t="s">
        <v>82</v>
      </c>
      <c r="E292" s="32"/>
      <c r="F292" s="33"/>
      <c r="G292" s="34"/>
      <c r="H292" s="29">
        <f>SUM(H290:H291)*0.03</f>
        <v>0</v>
      </c>
    </row>
    <row r="293" spans="1:8" x14ac:dyDescent="0.25">
      <c r="A293" s="41" t="s">
        <v>129</v>
      </c>
      <c r="B293" s="42" t="s">
        <v>179</v>
      </c>
      <c r="C293" s="43"/>
      <c r="D293" s="44"/>
      <c r="E293" s="45" t="s">
        <v>20</v>
      </c>
      <c r="F293" s="46">
        <f>F287</f>
        <v>204.4</v>
      </c>
      <c r="G293" s="46">
        <f>ROUND((H294+H295)/F293,2)</f>
        <v>116.08</v>
      </c>
      <c r="H293" s="58">
        <f>ROUND(G293*F293,2)</f>
        <v>23726.75</v>
      </c>
    </row>
    <row r="294" spans="1:8" x14ac:dyDescent="0.25">
      <c r="A294" s="24"/>
      <c r="B294" s="47" t="s">
        <v>21</v>
      </c>
      <c r="C294" s="25"/>
      <c r="D294" s="26"/>
      <c r="E294" s="27" t="s">
        <v>20</v>
      </c>
      <c r="F294" s="28">
        <f>F293</f>
        <v>204.4</v>
      </c>
      <c r="G294" s="27"/>
      <c r="H294" s="29">
        <f>G294*F294</f>
        <v>0</v>
      </c>
    </row>
    <row r="295" spans="1:8" x14ac:dyDescent="0.25">
      <c r="A295" s="24"/>
      <c r="B295" s="48" t="s">
        <v>22</v>
      </c>
      <c r="C295" s="25"/>
      <c r="D295" s="26"/>
      <c r="E295" s="49"/>
      <c r="F295" s="28"/>
      <c r="G295" s="27">
        <f>H295/F293</f>
        <v>116.08100000000002</v>
      </c>
      <c r="H295" s="29">
        <f>SUM(H296:H298)</f>
        <v>23726.956400000003</v>
      </c>
    </row>
    <row r="296" spans="1:8" x14ac:dyDescent="0.25">
      <c r="A296" s="24"/>
      <c r="B296" s="50"/>
      <c r="C296" s="50" t="s">
        <v>180</v>
      </c>
      <c r="D296" s="31">
        <f>0.13*1.05</f>
        <v>0.13650000000000001</v>
      </c>
      <c r="E296" s="32" t="s">
        <v>25</v>
      </c>
      <c r="F296" s="51">
        <f>(D296*F293)</f>
        <v>27.900600000000004</v>
      </c>
      <c r="G296" s="52"/>
      <c r="H296" s="29">
        <f>G296*F296</f>
        <v>0</v>
      </c>
    </row>
    <row r="297" spans="1:8" x14ac:dyDescent="0.25">
      <c r="A297" s="24"/>
      <c r="B297" s="50"/>
      <c r="C297" s="50" t="s">
        <v>157</v>
      </c>
      <c r="D297" s="31">
        <v>14</v>
      </c>
      <c r="E297" s="32" t="s">
        <v>28</v>
      </c>
      <c r="F297" s="51">
        <f>(D297*F293)</f>
        <v>2861.6</v>
      </c>
      <c r="G297" s="52">
        <v>8.0500000000000007</v>
      </c>
      <c r="H297" s="29">
        <f>G297*F297</f>
        <v>23035.88</v>
      </c>
    </row>
    <row r="298" spans="1:8" x14ac:dyDescent="0.25">
      <c r="A298" s="30"/>
      <c r="B298" s="50"/>
      <c r="C298" s="50" t="s">
        <v>81</v>
      </c>
      <c r="D298" s="77" t="s">
        <v>82</v>
      </c>
      <c r="E298" s="32"/>
      <c r="F298" s="33"/>
      <c r="G298" s="34"/>
      <c r="H298" s="29">
        <f>SUM(H296:H297)*0.03</f>
        <v>691.07640000000004</v>
      </c>
    </row>
    <row r="299" spans="1:8" x14ac:dyDescent="0.25">
      <c r="A299" s="41" t="s">
        <v>130</v>
      </c>
      <c r="B299" s="42" t="s">
        <v>178</v>
      </c>
      <c r="C299" s="43"/>
      <c r="D299" s="44"/>
      <c r="E299" s="45" t="s">
        <v>20</v>
      </c>
      <c r="F299" s="46">
        <f>F287</f>
        <v>204.4</v>
      </c>
      <c r="G299" s="46">
        <f>ROUND((H300+H301)/F299,2)</f>
        <v>2494.66</v>
      </c>
      <c r="H299" s="58">
        <f>ROUND(G299*F299,2)</f>
        <v>509908.5</v>
      </c>
    </row>
    <row r="300" spans="1:8" x14ac:dyDescent="0.25">
      <c r="A300" s="24"/>
      <c r="B300" s="47" t="s">
        <v>21</v>
      </c>
      <c r="C300" s="25"/>
      <c r="D300" s="26"/>
      <c r="E300" s="27" t="s">
        <v>20</v>
      </c>
      <c r="F300" s="28">
        <f>F299</f>
        <v>204.4</v>
      </c>
      <c r="G300" s="27"/>
      <c r="H300" s="29">
        <f>G300*F300</f>
        <v>0</v>
      </c>
    </row>
    <row r="301" spans="1:8" x14ac:dyDescent="0.25">
      <c r="A301" s="24"/>
      <c r="B301" s="48" t="s">
        <v>22</v>
      </c>
      <c r="C301" s="25"/>
      <c r="D301" s="26"/>
      <c r="E301" s="49"/>
      <c r="F301" s="28"/>
      <c r="G301" s="27">
        <f>H301/F299</f>
        <v>2494.66</v>
      </c>
      <c r="H301" s="29">
        <f>SUM(H302:H303)</f>
        <v>509908.50399999996</v>
      </c>
    </row>
    <row r="302" spans="1:8" x14ac:dyDescent="0.25">
      <c r="A302" s="24"/>
      <c r="B302" s="50"/>
      <c r="C302" s="50" t="s">
        <v>42</v>
      </c>
      <c r="D302" s="31">
        <v>1.4</v>
      </c>
      <c r="E302" s="32" t="s">
        <v>20</v>
      </c>
      <c r="F302" s="51">
        <f>(D302*F299)</f>
        <v>286.15999999999997</v>
      </c>
      <c r="G302" s="52">
        <v>1730</v>
      </c>
      <c r="H302" s="29">
        <f>G302*F302</f>
        <v>495056.79999999993</v>
      </c>
    </row>
    <row r="303" spans="1:8" x14ac:dyDescent="0.25">
      <c r="A303" s="30"/>
      <c r="B303" s="50"/>
      <c r="C303" s="50" t="s">
        <v>81</v>
      </c>
      <c r="D303" s="77" t="s">
        <v>82</v>
      </c>
      <c r="E303" s="32"/>
      <c r="F303" s="33"/>
      <c r="G303" s="34"/>
      <c r="H303" s="29">
        <f>SUM(H302)*0.03</f>
        <v>14851.703999999998</v>
      </c>
    </row>
    <row r="304" spans="1:8" x14ac:dyDescent="0.25">
      <c r="A304" s="35" t="s">
        <v>131</v>
      </c>
      <c r="B304" s="36" t="s">
        <v>166</v>
      </c>
      <c r="C304" s="36"/>
      <c r="D304" s="37"/>
      <c r="E304" s="38"/>
      <c r="F304" s="39"/>
      <c r="G304" s="40"/>
      <c r="H304" s="40">
        <f>H305+H311+H317</f>
        <v>2087286.63</v>
      </c>
    </row>
    <row r="305" spans="1:8" x14ac:dyDescent="0.25">
      <c r="A305" s="41" t="s">
        <v>132</v>
      </c>
      <c r="B305" s="42" t="s">
        <v>181</v>
      </c>
      <c r="C305" s="43"/>
      <c r="D305" s="44"/>
      <c r="E305" s="45" t="s">
        <v>20</v>
      </c>
      <c r="F305" s="46">
        <v>799.5</v>
      </c>
      <c r="G305" s="46">
        <f>ROUND((H306+H307)/F305,2)</f>
        <v>0</v>
      </c>
      <c r="H305" s="58">
        <f>ROUND(G305*F305,2)</f>
        <v>0</v>
      </c>
    </row>
    <row r="306" spans="1:8" x14ac:dyDescent="0.25">
      <c r="A306" s="24"/>
      <c r="B306" s="47" t="s">
        <v>21</v>
      </c>
      <c r="C306" s="25"/>
      <c r="D306" s="26"/>
      <c r="E306" s="27" t="s">
        <v>20</v>
      </c>
      <c r="F306" s="28">
        <f>F305</f>
        <v>799.5</v>
      </c>
      <c r="G306" s="27"/>
      <c r="H306" s="29">
        <f>G306*F306</f>
        <v>0</v>
      </c>
    </row>
    <row r="307" spans="1:8" x14ac:dyDescent="0.25">
      <c r="A307" s="24"/>
      <c r="B307" s="48" t="s">
        <v>22</v>
      </c>
      <c r="C307" s="25"/>
      <c r="D307" s="26"/>
      <c r="E307" s="49"/>
      <c r="F307" s="28"/>
      <c r="G307" s="27">
        <f>H307/F305</f>
        <v>0</v>
      </c>
      <c r="H307" s="29">
        <f>SUM(H308:H310)</f>
        <v>0</v>
      </c>
    </row>
    <row r="308" spans="1:8" x14ac:dyDescent="0.25">
      <c r="A308" s="24"/>
      <c r="B308" s="50"/>
      <c r="C308" s="53" t="s">
        <v>38</v>
      </c>
      <c r="D308" s="31">
        <v>1.2</v>
      </c>
      <c r="E308" s="32" t="s">
        <v>20</v>
      </c>
      <c r="F308" s="51">
        <f>(D308*F305)</f>
        <v>959.4</v>
      </c>
      <c r="G308" s="52"/>
      <c r="H308" s="29">
        <f>G308*F308</f>
        <v>0</v>
      </c>
    </row>
    <row r="309" spans="1:8" x14ac:dyDescent="0.25">
      <c r="A309" s="24"/>
      <c r="B309" s="50"/>
      <c r="C309" s="53" t="s">
        <v>39</v>
      </c>
      <c r="D309" s="31">
        <v>7</v>
      </c>
      <c r="E309" s="32" t="s">
        <v>28</v>
      </c>
      <c r="F309" s="51">
        <f>(D309*F305)</f>
        <v>5596.5</v>
      </c>
      <c r="G309" s="52"/>
      <c r="H309" s="29">
        <f>G309*F309</f>
        <v>0</v>
      </c>
    </row>
    <row r="310" spans="1:8" x14ac:dyDescent="0.25">
      <c r="A310" s="30"/>
      <c r="B310" s="50"/>
      <c r="C310" s="50" t="s">
        <v>81</v>
      </c>
      <c r="D310" s="77" t="s">
        <v>82</v>
      </c>
      <c r="E310" s="32"/>
      <c r="F310" s="33"/>
      <c r="G310" s="34"/>
      <c r="H310" s="29">
        <f>SUM(H308:H309)*0.03</f>
        <v>0</v>
      </c>
    </row>
    <row r="311" spans="1:8" x14ac:dyDescent="0.25">
      <c r="A311" s="41" t="s">
        <v>133</v>
      </c>
      <c r="B311" s="42" t="s">
        <v>179</v>
      </c>
      <c r="C311" s="43"/>
      <c r="D311" s="44"/>
      <c r="E311" s="45" t="s">
        <v>20</v>
      </c>
      <c r="F311" s="46">
        <f>F305</f>
        <v>799.5</v>
      </c>
      <c r="G311" s="46">
        <f>ROUND((H312+H313)/F311,2)</f>
        <v>116.08</v>
      </c>
      <c r="H311" s="58">
        <f>ROUND(G311*F311,2)</f>
        <v>92805.96</v>
      </c>
    </row>
    <row r="312" spans="1:8" x14ac:dyDescent="0.25">
      <c r="A312" s="24"/>
      <c r="B312" s="47" t="s">
        <v>21</v>
      </c>
      <c r="C312" s="25"/>
      <c r="D312" s="26"/>
      <c r="E312" s="27" t="s">
        <v>20</v>
      </c>
      <c r="F312" s="28">
        <f>F311</f>
        <v>799.5</v>
      </c>
      <c r="G312" s="27"/>
      <c r="H312" s="29">
        <f>G312*F312</f>
        <v>0</v>
      </c>
    </row>
    <row r="313" spans="1:8" x14ac:dyDescent="0.25">
      <c r="A313" s="24"/>
      <c r="B313" s="48" t="s">
        <v>22</v>
      </c>
      <c r="C313" s="25"/>
      <c r="D313" s="26"/>
      <c r="E313" s="49"/>
      <c r="F313" s="28"/>
      <c r="G313" s="27">
        <f>H313/F311</f>
        <v>116.08100000000002</v>
      </c>
      <c r="H313" s="29">
        <f>SUM(H314:H316)</f>
        <v>92806.759500000015</v>
      </c>
    </row>
    <row r="314" spans="1:8" x14ac:dyDescent="0.25">
      <c r="A314" s="24"/>
      <c r="B314" s="50"/>
      <c r="C314" s="50" t="s">
        <v>182</v>
      </c>
      <c r="D314" s="31">
        <f>0.15*1.05</f>
        <v>0.1575</v>
      </c>
      <c r="E314" s="32" t="s">
        <v>25</v>
      </c>
      <c r="F314" s="51">
        <f>(D314*F311)</f>
        <v>125.92125</v>
      </c>
      <c r="G314" s="52"/>
      <c r="H314" s="29">
        <f>G314*F314</f>
        <v>0</v>
      </c>
    </row>
    <row r="315" spans="1:8" x14ac:dyDescent="0.25">
      <c r="A315" s="24"/>
      <c r="B315" s="50"/>
      <c r="C315" s="50" t="s">
        <v>157</v>
      </c>
      <c r="D315" s="31">
        <v>14</v>
      </c>
      <c r="E315" s="32" t="s">
        <v>28</v>
      </c>
      <c r="F315" s="51">
        <f>(D315*F311)</f>
        <v>11193</v>
      </c>
      <c r="G315" s="52">
        <v>8.0500000000000007</v>
      </c>
      <c r="H315" s="29">
        <f>G315*F315</f>
        <v>90103.650000000009</v>
      </c>
    </row>
    <row r="316" spans="1:8" x14ac:dyDescent="0.25">
      <c r="A316" s="30"/>
      <c r="B316" s="50"/>
      <c r="C316" s="50" t="s">
        <v>81</v>
      </c>
      <c r="D316" s="77" t="s">
        <v>82</v>
      </c>
      <c r="E316" s="32"/>
      <c r="F316" s="33"/>
      <c r="G316" s="34"/>
      <c r="H316" s="29">
        <f>SUM(H314:H315)*0.03</f>
        <v>2703.1095</v>
      </c>
    </row>
    <row r="317" spans="1:8" x14ac:dyDescent="0.25">
      <c r="A317" s="41" t="s">
        <v>134</v>
      </c>
      <c r="B317" s="42" t="s">
        <v>188</v>
      </c>
      <c r="C317" s="43"/>
      <c r="D317" s="44"/>
      <c r="E317" s="45" t="s">
        <v>20</v>
      </c>
      <c r="F317" s="46">
        <f>F305</f>
        <v>799.5</v>
      </c>
      <c r="G317" s="46">
        <f>ROUND((H318+H319)/F317,2)</f>
        <v>2494.66</v>
      </c>
      <c r="H317" s="58">
        <f>ROUND(G317*F317,2)</f>
        <v>1994480.67</v>
      </c>
    </row>
    <row r="318" spans="1:8" x14ac:dyDescent="0.25">
      <c r="A318" s="24"/>
      <c r="B318" s="47" t="s">
        <v>21</v>
      </c>
      <c r="C318" s="25"/>
      <c r="D318" s="26"/>
      <c r="E318" s="27" t="s">
        <v>20</v>
      </c>
      <c r="F318" s="28">
        <f>F317</f>
        <v>799.5</v>
      </c>
      <c r="G318" s="27"/>
      <c r="H318" s="29">
        <f>G318*F318</f>
        <v>0</v>
      </c>
    </row>
    <row r="319" spans="1:8" x14ac:dyDescent="0.25">
      <c r="A319" s="24"/>
      <c r="B319" s="48" t="s">
        <v>22</v>
      </c>
      <c r="C319" s="25"/>
      <c r="D319" s="26"/>
      <c r="E319" s="49"/>
      <c r="F319" s="28"/>
      <c r="G319" s="27">
        <f>H319/F317</f>
        <v>2494.66</v>
      </c>
      <c r="H319" s="29">
        <f>SUM(H320:H321)</f>
        <v>1994480.67</v>
      </c>
    </row>
    <row r="320" spans="1:8" x14ac:dyDescent="0.25">
      <c r="A320" s="24"/>
      <c r="B320" s="50"/>
      <c r="C320" s="50" t="s">
        <v>42</v>
      </c>
      <c r="D320" s="31">
        <v>1.4</v>
      </c>
      <c r="E320" s="32" t="s">
        <v>20</v>
      </c>
      <c r="F320" s="51">
        <f>(D320*F317)</f>
        <v>1119.3</v>
      </c>
      <c r="G320" s="52">
        <v>1730</v>
      </c>
      <c r="H320" s="29">
        <f>G320*F320</f>
        <v>1936389</v>
      </c>
    </row>
    <row r="321" spans="1:8" x14ac:dyDescent="0.25">
      <c r="A321" s="30"/>
      <c r="B321" s="50"/>
      <c r="C321" s="50" t="s">
        <v>81</v>
      </c>
      <c r="D321" s="77" t="s">
        <v>82</v>
      </c>
      <c r="E321" s="32"/>
      <c r="F321" s="33"/>
      <c r="G321" s="34"/>
      <c r="H321" s="29">
        <f>SUM(H320)*0.03</f>
        <v>58091.67</v>
      </c>
    </row>
    <row r="322" spans="1:8" x14ac:dyDescent="0.25">
      <c r="A322" s="35" t="s">
        <v>131</v>
      </c>
      <c r="B322" s="36" t="s">
        <v>167</v>
      </c>
      <c r="C322" s="36"/>
      <c r="D322" s="37"/>
      <c r="E322" s="38"/>
      <c r="F322" s="39"/>
      <c r="G322" s="40"/>
      <c r="H322" s="40">
        <f>H323+H329+H335</f>
        <v>225829.01</v>
      </c>
    </row>
    <row r="323" spans="1:8" x14ac:dyDescent="0.25">
      <c r="A323" s="41" t="s">
        <v>132</v>
      </c>
      <c r="B323" s="42" t="s">
        <v>177</v>
      </c>
      <c r="C323" s="43"/>
      <c r="D323" s="44"/>
      <c r="E323" s="45" t="s">
        <v>20</v>
      </c>
      <c r="F323" s="46">
        <v>86.5</v>
      </c>
      <c r="G323" s="46">
        <f>ROUND((H324+H325)/F323,2)</f>
        <v>0</v>
      </c>
      <c r="H323" s="58">
        <f>ROUND(G323*F323,2)</f>
        <v>0</v>
      </c>
    </row>
    <row r="324" spans="1:8" x14ac:dyDescent="0.25">
      <c r="A324" s="24"/>
      <c r="B324" s="47" t="s">
        <v>21</v>
      </c>
      <c r="C324" s="25"/>
      <c r="D324" s="26"/>
      <c r="E324" s="27" t="s">
        <v>20</v>
      </c>
      <c r="F324" s="28">
        <f>F323</f>
        <v>86.5</v>
      </c>
      <c r="G324" s="27"/>
      <c r="H324" s="29">
        <f>G324*F324</f>
        <v>0</v>
      </c>
    </row>
    <row r="325" spans="1:8" x14ac:dyDescent="0.25">
      <c r="A325" s="24"/>
      <c r="B325" s="48" t="s">
        <v>22</v>
      </c>
      <c r="C325" s="25"/>
      <c r="D325" s="26"/>
      <c r="E325" s="49"/>
      <c r="F325" s="28"/>
      <c r="G325" s="27">
        <f>H325/F323</f>
        <v>0</v>
      </c>
      <c r="H325" s="29">
        <f>SUM(H326:H328)</f>
        <v>0</v>
      </c>
    </row>
    <row r="326" spans="1:8" x14ac:dyDescent="0.25">
      <c r="A326" s="24"/>
      <c r="B326" s="50"/>
      <c r="C326" s="53" t="s">
        <v>38</v>
      </c>
      <c r="D326" s="31">
        <v>1.2</v>
      </c>
      <c r="E326" s="32" t="s">
        <v>20</v>
      </c>
      <c r="F326" s="51">
        <f>(D326*F323)</f>
        <v>103.8</v>
      </c>
      <c r="G326" s="52"/>
      <c r="H326" s="29">
        <f>G326*F326</f>
        <v>0</v>
      </c>
    </row>
    <row r="327" spans="1:8" x14ac:dyDescent="0.25">
      <c r="A327" s="24"/>
      <c r="B327" s="50"/>
      <c r="C327" s="53" t="s">
        <v>39</v>
      </c>
      <c r="D327" s="31">
        <v>7</v>
      </c>
      <c r="E327" s="32" t="s">
        <v>28</v>
      </c>
      <c r="F327" s="51">
        <f>(D327*F323)</f>
        <v>605.5</v>
      </c>
      <c r="G327" s="52"/>
      <c r="H327" s="29">
        <f>G327*F327</f>
        <v>0</v>
      </c>
    </row>
    <row r="328" spans="1:8" x14ac:dyDescent="0.25">
      <c r="A328" s="30"/>
      <c r="B328" s="50"/>
      <c r="C328" s="50" t="s">
        <v>81</v>
      </c>
      <c r="D328" s="77" t="s">
        <v>82</v>
      </c>
      <c r="E328" s="32"/>
      <c r="F328" s="33"/>
      <c r="G328" s="34"/>
      <c r="H328" s="29">
        <f>SUM(H326:H327)*0.03</f>
        <v>0</v>
      </c>
    </row>
    <row r="329" spans="1:8" x14ac:dyDescent="0.25">
      <c r="A329" s="41" t="s">
        <v>133</v>
      </c>
      <c r="B329" s="42" t="s">
        <v>86</v>
      </c>
      <c r="C329" s="43"/>
      <c r="D329" s="44"/>
      <c r="E329" s="45" t="s">
        <v>20</v>
      </c>
      <c r="F329" s="46">
        <f>F323</f>
        <v>86.5</v>
      </c>
      <c r="G329" s="46">
        <f>ROUND((H330+H331)/F329,2)</f>
        <v>116.08</v>
      </c>
      <c r="H329" s="58">
        <f>ROUND(G329*F329,2)</f>
        <v>10040.92</v>
      </c>
    </row>
    <row r="330" spans="1:8" x14ac:dyDescent="0.25">
      <c r="A330" s="24"/>
      <c r="B330" s="47" t="s">
        <v>21</v>
      </c>
      <c r="C330" s="25"/>
      <c r="D330" s="26"/>
      <c r="E330" s="27" t="s">
        <v>20</v>
      </c>
      <c r="F330" s="28">
        <f>F329</f>
        <v>86.5</v>
      </c>
      <c r="G330" s="27"/>
      <c r="H330" s="29">
        <f>G330*F330</f>
        <v>0</v>
      </c>
    </row>
    <row r="331" spans="1:8" x14ac:dyDescent="0.25">
      <c r="A331" s="24"/>
      <c r="B331" s="48" t="s">
        <v>22</v>
      </c>
      <c r="C331" s="25"/>
      <c r="D331" s="26"/>
      <c r="E331" s="49"/>
      <c r="F331" s="28"/>
      <c r="G331" s="27">
        <f>H331/F329</f>
        <v>116.08100000000002</v>
      </c>
      <c r="H331" s="29">
        <f>SUM(H332:H334)</f>
        <v>10041.006500000001</v>
      </c>
    </row>
    <row r="332" spans="1:8" x14ac:dyDescent="0.25">
      <c r="A332" s="24"/>
      <c r="B332" s="50"/>
      <c r="C332" s="50" t="s">
        <v>183</v>
      </c>
      <c r="D332" s="31">
        <f>0.15*1.05</f>
        <v>0.1575</v>
      </c>
      <c r="E332" s="32" t="s">
        <v>25</v>
      </c>
      <c r="F332" s="51">
        <f>(D332*F329)</f>
        <v>13.623749999999999</v>
      </c>
      <c r="G332" s="52"/>
      <c r="H332" s="29">
        <f>G332*F332</f>
        <v>0</v>
      </c>
    </row>
    <row r="333" spans="1:8" x14ac:dyDescent="0.25">
      <c r="A333" s="24"/>
      <c r="B333" s="50"/>
      <c r="C333" s="50" t="s">
        <v>157</v>
      </c>
      <c r="D333" s="31">
        <v>14</v>
      </c>
      <c r="E333" s="32" t="s">
        <v>28</v>
      </c>
      <c r="F333" s="51">
        <f>(D333*F329)</f>
        <v>1211</v>
      </c>
      <c r="G333" s="52">
        <v>8.0500000000000007</v>
      </c>
      <c r="H333" s="29">
        <f>G333*F333</f>
        <v>9748.5500000000011</v>
      </c>
    </row>
    <row r="334" spans="1:8" x14ac:dyDescent="0.25">
      <c r="A334" s="30"/>
      <c r="B334" s="50"/>
      <c r="C334" s="50" t="s">
        <v>81</v>
      </c>
      <c r="D334" s="77" t="s">
        <v>82</v>
      </c>
      <c r="E334" s="32"/>
      <c r="F334" s="33"/>
      <c r="G334" s="34"/>
      <c r="H334" s="29">
        <f>SUM(H332:H333)*0.03</f>
        <v>292.45650000000001</v>
      </c>
    </row>
    <row r="335" spans="1:8" x14ac:dyDescent="0.25">
      <c r="A335" s="41" t="s">
        <v>134</v>
      </c>
      <c r="B335" s="42" t="s">
        <v>188</v>
      </c>
      <c r="C335" s="43"/>
      <c r="D335" s="44"/>
      <c r="E335" s="45" t="s">
        <v>20</v>
      </c>
      <c r="F335" s="46">
        <f>F323</f>
        <v>86.5</v>
      </c>
      <c r="G335" s="46">
        <f>ROUND((H336+H337)/F335,2)</f>
        <v>2494.66</v>
      </c>
      <c r="H335" s="58">
        <f>ROUND(G335*F335,2)</f>
        <v>215788.09</v>
      </c>
    </row>
    <row r="336" spans="1:8" x14ac:dyDescent="0.25">
      <c r="A336" s="24"/>
      <c r="B336" s="47" t="s">
        <v>21</v>
      </c>
      <c r="C336" s="25"/>
      <c r="D336" s="26"/>
      <c r="E336" s="27" t="s">
        <v>20</v>
      </c>
      <c r="F336" s="28">
        <f>F335</f>
        <v>86.5</v>
      </c>
      <c r="G336" s="27"/>
      <c r="H336" s="29">
        <f>G336*F336</f>
        <v>0</v>
      </c>
    </row>
    <row r="337" spans="1:8" x14ac:dyDescent="0.25">
      <c r="A337" s="24"/>
      <c r="B337" s="48" t="s">
        <v>22</v>
      </c>
      <c r="C337" s="25"/>
      <c r="D337" s="26"/>
      <c r="E337" s="49"/>
      <c r="F337" s="28"/>
      <c r="G337" s="27">
        <f>H337/F335</f>
        <v>2494.66</v>
      </c>
      <c r="H337" s="29">
        <f>SUM(H338:H339)</f>
        <v>215788.09</v>
      </c>
    </row>
    <row r="338" spans="1:8" x14ac:dyDescent="0.25">
      <c r="A338" s="24"/>
      <c r="B338" s="50"/>
      <c r="C338" s="50" t="s">
        <v>42</v>
      </c>
      <c r="D338" s="31">
        <v>1.4</v>
      </c>
      <c r="E338" s="32" t="s">
        <v>20</v>
      </c>
      <c r="F338" s="51">
        <f>(D338*F335)</f>
        <v>121.1</v>
      </c>
      <c r="G338" s="52">
        <v>1730</v>
      </c>
      <c r="H338" s="29">
        <f>G338*F338</f>
        <v>209503</v>
      </c>
    </row>
    <row r="339" spans="1:8" x14ac:dyDescent="0.25">
      <c r="A339" s="30"/>
      <c r="B339" s="50"/>
      <c r="C339" s="50" t="s">
        <v>81</v>
      </c>
      <c r="D339" s="77" t="s">
        <v>82</v>
      </c>
      <c r="E339" s="32"/>
      <c r="F339" s="33"/>
      <c r="G339" s="34"/>
      <c r="H339" s="29">
        <f>SUM(H338)*0.03</f>
        <v>6285.09</v>
      </c>
    </row>
    <row r="340" spans="1:8" x14ac:dyDescent="0.25">
      <c r="A340" s="35" t="s">
        <v>135</v>
      </c>
      <c r="B340" s="36" t="s">
        <v>167</v>
      </c>
      <c r="C340" s="36"/>
      <c r="D340" s="37"/>
      <c r="E340" s="38"/>
      <c r="F340" s="39"/>
      <c r="G340" s="40"/>
      <c r="H340" s="40">
        <f>H341+H347+H353</f>
        <v>103537.03</v>
      </c>
    </row>
    <row r="341" spans="1:8" x14ac:dyDescent="0.25">
      <c r="A341" s="41" t="s">
        <v>136</v>
      </c>
      <c r="B341" s="42" t="s">
        <v>177</v>
      </c>
      <c r="C341" s="43"/>
      <c r="D341" s="44"/>
      <c r="E341" s="45" t="s">
        <v>20</v>
      </c>
      <c r="F341" s="46">
        <v>39.299999999999997</v>
      </c>
      <c r="G341" s="46">
        <f>ROUND((H342+H343)/F341,2)</f>
        <v>0</v>
      </c>
      <c r="H341" s="58">
        <f>ROUND(G341*F341,2)</f>
        <v>0</v>
      </c>
    </row>
    <row r="342" spans="1:8" x14ac:dyDescent="0.25">
      <c r="A342" s="24"/>
      <c r="B342" s="47" t="s">
        <v>21</v>
      </c>
      <c r="C342" s="25"/>
      <c r="D342" s="26"/>
      <c r="E342" s="27" t="s">
        <v>20</v>
      </c>
      <c r="F342" s="28">
        <f>F341</f>
        <v>39.299999999999997</v>
      </c>
      <c r="G342" s="27"/>
      <c r="H342" s="29">
        <f>G342*F342</f>
        <v>0</v>
      </c>
    </row>
    <row r="343" spans="1:8" x14ac:dyDescent="0.25">
      <c r="A343" s="24"/>
      <c r="B343" s="48" t="s">
        <v>22</v>
      </c>
      <c r="C343" s="25"/>
      <c r="D343" s="26"/>
      <c r="E343" s="49"/>
      <c r="F343" s="28"/>
      <c r="G343" s="27">
        <f>H343/F341</f>
        <v>0</v>
      </c>
      <c r="H343" s="29">
        <f>SUM(H344:H346)</f>
        <v>0</v>
      </c>
    </row>
    <row r="344" spans="1:8" x14ac:dyDescent="0.25">
      <c r="A344" s="24"/>
      <c r="B344" s="50"/>
      <c r="C344" s="53" t="s">
        <v>38</v>
      </c>
      <c r="D344" s="31">
        <v>1.2</v>
      </c>
      <c r="E344" s="32" t="s">
        <v>20</v>
      </c>
      <c r="F344" s="51">
        <f>(D344*F341)</f>
        <v>47.16</v>
      </c>
      <c r="G344" s="52"/>
      <c r="H344" s="29">
        <f>G344*F344</f>
        <v>0</v>
      </c>
    </row>
    <row r="345" spans="1:8" x14ac:dyDescent="0.25">
      <c r="A345" s="24"/>
      <c r="B345" s="50"/>
      <c r="C345" s="53" t="s">
        <v>39</v>
      </c>
      <c r="D345" s="31">
        <v>7</v>
      </c>
      <c r="E345" s="32" t="s">
        <v>28</v>
      </c>
      <c r="F345" s="51">
        <f>(D345*F341)</f>
        <v>275.09999999999997</v>
      </c>
      <c r="G345" s="52"/>
      <c r="H345" s="29">
        <f>G345*F345</f>
        <v>0</v>
      </c>
    </row>
    <row r="346" spans="1:8" x14ac:dyDescent="0.25">
      <c r="A346" s="30"/>
      <c r="B346" s="50"/>
      <c r="C346" s="50" t="s">
        <v>81</v>
      </c>
      <c r="D346" s="77" t="s">
        <v>82</v>
      </c>
      <c r="E346" s="32"/>
      <c r="F346" s="33"/>
      <c r="G346" s="34"/>
      <c r="H346" s="29">
        <f>SUM(H344:H345)*0.03</f>
        <v>0</v>
      </c>
    </row>
    <row r="347" spans="1:8" x14ac:dyDescent="0.25">
      <c r="A347" s="41" t="s">
        <v>137</v>
      </c>
      <c r="B347" s="42" t="s">
        <v>179</v>
      </c>
      <c r="C347" s="43"/>
      <c r="D347" s="44"/>
      <c r="E347" s="45" t="s">
        <v>20</v>
      </c>
      <c r="F347" s="46">
        <f>F341</f>
        <v>39.299999999999997</v>
      </c>
      <c r="G347" s="46">
        <f>ROUND((H348+H349)/F347,2)</f>
        <v>139.87</v>
      </c>
      <c r="H347" s="58">
        <f>ROUND(G347*F347,2)</f>
        <v>5496.89</v>
      </c>
    </row>
    <row r="348" spans="1:8" x14ac:dyDescent="0.25">
      <c r="A348" s="24"/>
      <c r="B348" s="47" t="s">
        <v>21</v>
      </c>
      <c r="C348" s="25"/>
      <c r="D348" s="26"/>
      <c r="E348" s="27" t="s">
        <v>20</v>
      </c>
      <c r="F348" s="28">
        <f>F347</f>
        <v>39.299999999999997</v>
      </c>
      <c r="G348" s="27"/>
      <c r="H348" s="29">
        <f>G348*F348</f>
        <v>0</v>
      </c>
    </row>
    <row r="349" spans="1:8" x14ac:dyDescent="0.25">
      <c r="A349" s="24"/>
      <c r="B349" s="48" t="s">
        <v>22</v>
      </c>
      <c r="C349" s="25"/>
      <c r="D349" s="26"/>
      <c r="E349" s="49"/>
      <c r="F349" s="28"/>
      <c r="G349" s="27">
        <f>H349/F347</f>
        <v>139.87399999999997</v>
      </c>
      <c r="H349" s="29">
        <f>SUM(H350:H352)</f>
        <v>5497.0481999999984</v>
      </c>
    </row>
    <row r="350" spans="1:8" x14ac:dyDescent="0.25">
      <c r="A350" s="24"/>
      <c r="B350" s="50"/>
      <c r="C350" s="50" t="s">
        <v>184</v>
      </c>
      <c r="D350" s="31">
        <f>0.2*1.05</f>
        <v>0.21000000000000002</v>
      </c>
      <c r="E350" s="32" t="s">
        <v>25</v>
      </c>
      <c r="F350" s="51">
        <f>(D350*F347)</f>
        <v>8.2530000000000001</v>
      </c>
      <c r="G350" s="52"/>
      <c r="H350" s="29">
        <f>G350*F350</f>
        <v>0</v>
      </c>
    </row>
    <row r="351" spans="1:8" x14ac:dyDescent="0.25">
      <c r="A351" s="24"/>
      <c r="B351" s="50"/>
      <c r="C351" s="50" t="s">
        <v>164</v>
      </c>
      <c r="D351" s="31">
        <v>14</v>
      </c>
      <c r="E351" s="32" t="s">
        <v>28</v>
      </c>
      <c r="F351" s="51">
        <f>(D351*F347)</f>
        <v>550.19999999999993</v>
      </c>
      <c r="G351" s="52">
        <v>9.6999999999999993</v>
      </c>
      <c r="H351" s="29">
        <f>G351*F351</f>
        <v>5336.9399999999987</v>
      </c>
    </row>
    <row r="352" spans="1:8" x14ac:dyDescent="0.25">
      <c r="A352" s="30"/>
      <c r="B352" s="50"/>
      <c r="C352" s="50" t="s">
        <v>81</v>
      </c>
      <c r="D352" s="77" t="s">
        <v>82</v>
      </c>
      <c r="E352" s="32"/>
      <c r="F352" s="33"/>
      <c r="G352" s="34"/>
      <c r="H352" s="29">
        <f>SUM(H350:H351)*0.03</f>
        <v>160.10819999999995</v>
      </c>
    </row>
    <row r="353" spans="1:8" x14ac:dyDescent="0.25">
      <c r="A353" s="41" t="s">
        <v>138</v>
      </c>
      <c r="B353" s="42" t="s">
        <v>178</v>
      </c>
      <c r="C353" s="43"/>
      <c r="D353" s="44"/>
      <c r="E353" s="45" t="s">
        <v>20</v>
      </c>
      <c r="F353" s="46">
        <f>F341</f>
        <v>39.299999999999997</v>
      </c>
      <c r="G353" s="46">
        <f>ROUND((H354+H355)/F353,2)</f>
        <v>2494.66</v>
      </c>
      <c r="H353" s="58">
        <f>ROUND(G353*F353,2)</f>
        <v>98040.14</v>
      </c>
    </row>
    <row r="354" spans="1:8" x14ac:dyDescent="0.25">
      <c r="A354" s="24"/>
      <c r="B354" s="47" t="s">
        <v>21</v>
      </c>
      <c r="C354" s="25"/>
      <c r="D354" s="26"/>
      <c r="E354" s="27" t="s">
        <v>20</v>
      </c>
      <c r="F354" s="28">
        <f>F353</f>
        <v>39.299999999999997</v>
      </c>
      <c r="G354" s="27"/>
      <c r="H354" s="29">
        <f>G354*F354</f>
        <v>0</v>
      </c>
    </row>
    <row r="355" spans="1:8" x14ac:dyDescent="0.25">
      <c r="A355" s="24"/>
      <c r="B355" s="48" t="s">
        <v>22</v>
      </c>
      <c r="C355" s="25"/>
      <c r="D355" s="26"/>
      <c r="E355" s="49"/>
      <c r="F355" s="28"/>
      <c r="G355" s="27">
        <f>H355/F353</f>
        <v>2494.66</v>
      </c>
      <c r="H355" s="29">
        <f>SUM(H356:H357)</f>
        <v>98040.137999999992</v>
      </c>
    </row>
    <row r="356" spans="1:8" x14ac:dyDescent="0.25">
      <c r="A356" s="24"/>
      <c r="B356" s="50"/>
      <c r="C356" s="50" t="s">
        <v>42</v>
      </c>
      <c r="D356" s="31">
        <v>1.4</v>
      </c>
      <c r="E356" s="32" t="s">
        <v>20</v>
      </c>
      <c r="F356" s="51">
        <f>(D356*F353)</f>
        <v>55.019999999999996</v>
      </c>
      <c r="G356" s="52">
        <v>1730</v>
      </c>
      <c r="H356" s="29">
        <f>G356*F356</f>
        <v>95184.599999999991</v>
      </c>
    </row>
    <row r="357" spans="1:8" x14ac:dyDescent="0.25">
      <c r="A357" s="30"/>
      <c r="B357" s="50"/>
      <c r="C357" s="50" t="s">
        <v>81</v>
      </c>
      <c r="D357" s="77" t="s">
        <v>82</v>
      </c>
      <c r="E357" s="32"/>
      <c r="F357" s="33"/>
      <c r="G357" s="34"/>
      <c r="H357" s="29">
        <f>SUM(H356)*0.03</f>
        <v>2855.5379999999996</v>
      </c>
    </row>
    <row r="358" spans="1:8" x14ac:dyDescent="0.25">
      <c r="A358" s="35" t="s">
        <v>139</v>
      </c>
      <c r="B358" s="36" t="s">
        <v>168</v>
      </c>
      <c r="C358" s="36"/>
      <c r="D358" s="37"/>
      <c r="E358" s="38"/>
      <c r="F358" s="39"/>
      <c r="G358" s="40"/>
      <c r="H358" s="40">
        <f>H359+H365+H371</f>
        <v>565370.14</v>
      </c>
    </row>
    <row r="359" spans="1:8" x14ac:dyDescent="0.25">
      <c r="A359" s="41" t="s">
        <v>140</v>
      </c>
      <c r="B359" s="42" t="s">
        <v>177</v>
      </c>
      <c r="C359" s="43"/>
      <c r="D359" s="44"/>
      <c r="E359" s="45" t="s">
        <v>20</v>
      </c>
      <c r="F359" s="46">
        <v>214.6</v>
      </c>
      <c r="G359" s="46">
        <f>ROUND((H360+H361)/F359,2)</f>
        <v>0</v>
      </c>
      <c r="H359" s="58">
        <f>ROUND(G359*F359,2)</f>
        <v>0</v>
      </c>
    </row>
    <row r="360" spans="1:8" x14ac:dyDescent="0.25">
      <c r="A360" s="24"/>
      <c r="B360" s="47" t="s">
        <v>21</v>
      </c>
      <c r="C360" s="25"/>
      <c r="D360" s="26"/>
      <c r="E360" s="27" t="s">
        <v>20</v>
      </c>
      <c r="F360" s="28">
        <f>F359</f>
        <v>214.6</v>
      </c>
      <c r="G360" s="27"/>
      <c r="H360" s="29">
        <f>G360*F360</f>
        <v>0</v>
      </c>
    </row>
    <row r="361" spans="1:8" x14ac:dyDescent="0.25">
      <c r="A361" s="24"/>
      <c r="B361" s="48" t="s">
        <v>22</v>
      </c>
      <c r="C361" s="25"/>
      <c r="D361" s="26"/>
      <c r="E361" s="49"/>
      <c r="F361" s="28"/>
      <c r="G361" s="27">
        <f>H361/F359</f>
        <v>0</v>
      </c>
      <c r="H361" s="29">
        <f>SUM(H362:H364)</f>
        <v>0</v>
      </c>
    </row>
    <row r="362" spans="1:8" x14ac:dyDescent="0.25">
      <c r="A362" s="24"/>
      <c r="B362" s="50"/>
      <c r="C362" s="53" t="s">
        <v>38</v>
      </c>
      <c r="D362" s="31">
        <v>1.2</v>
      </c>
      <c r="E362" s="32" t="s">
        <v>20</v>
      </c>
      <c r="F362" s="51">
        <f>(D362*F359)</f>
        <v>257.52</v>
      </c>
      <c r="G362" s="52"/>
      <c r="H362" s="29">
        <f>G362*F362</f>
        <v>0</v>
      </c>
    </row>
    <row r="363" spans="1:8" x14ac:dyDescent="0.25">
      <c r="A363" s="24"/>
      <c r="B363" s="50"/>
      <c r="C363" s="50" t="s">
        <v>39</v>
      </c>
      <c r="D363" s="31">
        <v>7</v>
      </c>
      <c r="E363" s="32" t="s">
        <v>28</v>
      </c>
      <c r="F363" s="51">
        <f>(D363*F359)</f>
        <v>1502.2</v>
      </c>
      <c r="G363" s="52"/>
      <c r="H363" s="29">
        <f>G363*F363</f>
        <v>0</v>
      </c>
    </row>
    <row r="364" spans="1:8" x14ac:dyDescent="0.25">
      <c r="A364" s="30"/>
      <c r="B364" s="50"/>
      <c r="C364" s="50" t="s">
        <v>81</v>
      </c>
      <c r="D364" s="77" t="s">
        <v>82</v>
      </c>
      <c r="E364" s="32"/>
      <c r="F364" s="33"/>
      <c r="G364" s="34"/>
      <c r="H364" s="29">
        <f>SUM(H362:H363)*0.03</f>
        <v>0</v>
      </c>
    </row>
    <row r="365" spans="1:8" x14ac:dyDescent="0.25">
      <c r="A365" s="41" t="s">
        <v>141</v>
      </c>
      <c r="B365" s="42" t="s">
        <v>86</v>
      </c>
      <c r="C365" s="43"/>
      <c r="D365" s="44"/>
      <c r="E365" s="45" t="s">
        <v>20</v>
      </c>
      <c r="F365" s="46">
        <f>F359</f>
        <v>214.6</v>
      </c>
      <c r="G365" s="46">
        <f>ROUND((H366+H367)/F365,2)</f>
        <v>139.87</v>
      </c>
      <c r="H365" s="58">
        <f>ROUND(G365*F365,2)</f>
        <v>30016.1</v>
      </c>
    </row>
    <row r="366" spans="1:8" x14ac:dyDescent="0.25">
      <c r="A366" s="24"/>
      <c r="B366" s="47" t="s">
        <v>21</v>
      </c>
      <c r="C366" s="25"/>
      <c r="D366" s="26"/>
      <c r="E366" s="27" t="s">
        <v>20</v>
      </c>
      <c r="F366" s="28">
        <f>F365</f>
        <v>214.6</v>
      </c>
      <c r="G366" s="27"/>
      <c r="H366" s="29">
        <f>G366*F366</f>
        <v>0</v>
      </c>
    </row>
    <row r="367" spans="1:8" x14ac:dyDescent="0.25">
      <c r="A367" s="24"/>
      <c r="B367" s="48" t="s">
        <v>22</v>
      </c>
      <c r="C367" s="25"/>
      <c r="D367" s="26"/>
      <c r="E367" s="49"/>
      <c r="F367" s="28"/>
      <c r="G367" s="27">
        <f>H367/F365</f>
        <v>139.874</v>
      </c>
      <c r="H367" s="29">
        <f>SUM(H368:H370)</f>
        <v>30016.9604</v>
      </c>
    </row>
    <row r="368" spans="1:8" ht="25.5" x14ac:dyDescent="0.25">
      <c r="A368" s="24"/>
      <c r="B368" s="50"/>
      <c r="C368" s="50" t="s">
        <v>185</v>
      </c>
      <c r="D368" s="85">
        <f>0.2*1.05</f>
        <v>0.21000000000000002</v>
      </c>
      <c r="E368" s="32" t="s">
        <v>25</v>
      </c>
      <c r="F368" s="51">
        <f>(D368*F365)</f>
        <v>45.066000000000003</v>
      </c>
      <c r="G368" s="52"/>
      <c r="H368" s="29">
        <f>G368*F368</f>
        <v>0</v>
      </c>
    </row>
    <row r="369" spans="1:8" x14ac:dyDescent="0.25">
      <c r="A369" s="24"/>
      <c r="B369" s="50"/>
      <c r="C369" s="50" t="s">
        <v>164</v>
      </c>
      <c r="D369" s="31">
        <v>14</v>
      </c>
      <c r="E369" s="32" t="s">
        <v>28</v>
      </c>
      <c r="F369" s="51">
        <f>(D369*F365)</f>
        <v>3004.4</v>
      </c>
      <c r="G369" s="52">
        <v>9.6999999999999993</v>
      </c>
      <c r="H369" s="29">
        <f>G369*F369</f>
        <v>29142.68</v>
      </c>
    </row>
    <row r="370" spans="1:8" x14ac:dyDescent="0.25">
      <c r="A370" s="30"/>
      <c r="B370" s="50"/>
      <c r="C370" s="50" t="s">
        <v>81</v>
      </c>
      <c r="D370" s="77" t="s">
        <v>82</v>
      </c>
      <c r="E370" s="32"/>
      <c r="F370" s="33"/>
      <c r="G370" s="34"/>
      <c r="H370" s="29">
        <f>SUM(H368:H369)*0.03</f>
        <v>874.28039999999999</v>
      </c>
    </row>
    <row r="371" spans="1:8" x14ac:dyDescent="0.25">
      <c r="A371" s="41" t="s">
        <v>142</v>
      </c>
      <c r="B371" s="42" t="s">
        <v>187</v>
      </c>
      <c r="C371" s="43"/>
      <c r="D371" s="44"/>
      <c r="E371" s="45" t="s">
        <v>20</v>
      </c>
      <c r="F371" s="46">
        <f>F359</f>
        <v>214.6</v>
      </c>
      <c r="G371" s="46">
        <f>ROUND((H372+H373)/F371,2)</f>
        <v>2494.66</v>
      </c>
      <c r="H371" s="58">
        <f>ROUND(G371*F371,2)</f>
        <v>535354.04</v>
      </c>
    </row>
    <row r="372" spans="1:8" x14ac:dyDescent="0.25">
      <c r="A372" s="24"/>
      <c r="B372" s="47" t="s">
        <v>21</v>
      </c>
      <c r="C372" s="25"/>
      <c r="D372" s="26"/>
      <c r="E372" s="27" t="s">
        <v>20</v>
      </c>
      <c r="F372" s="28">
        <f>F371</f>
        <v>214.6</v>
      </c>
      <c r="G372" s="27"/>
      <c r="H372" s="29">
        <f>G372*F372</f>
        <v>0</v>
      </c>
    </row>
    <row r="373" spans="1:8" x14ac:dyDescent="0.25">
      <c r="A373" s="24"/>
      <c r="B373" s="48" t="s">
        <v>22</v>
      </c>
      <c r="C373" s="25"/>
      <c r="D373" s="26"/>
      <c r="E373" s="49"/>
      <c r="F373" s="28"/>
      <c r="G373" s="27">
        <f>H373/F371</f>
        <v>2494.66</v>
      </c>
      <c r="H373" s="29">
        <f>SUM(H374:H375)</f>
        <v>535354.03599999996</v>
      </c>
    </row>
    <row r="374" spans="1:8" x14ac:dyDescent="0.25">
      <c r="A374" s="24"/>
      <c r="B374" s="50"/>
      <c r="C374" s="50" t="s">
        <v>42</v>
      </c>
      <c r="D374" s="31">
        <v>1.4</v>
      </c>
      <c r="E374" s="32" t="s">
        <v>20</v>
      </c>
      <c r="F374" s="51">
        <f>(D374*F371)</f>
        <v>300.44</v>
      </c>
      <c r="G374" s="52">
        <v>1730</v>
      </c>
      <c r="H374" s="29">
        <f>G374*F374</f>
        <v>519761.2</v>
      </c>
    </row>
    <row r="375" spans="1:8" x14ac:dyDescent="0.25">
      <c r="A375" s="30"/>
      <c r="B375" s="50"/>
      <c r="C375" s="50" t="s">
        <v>81</v>
      </c>
      <c r="D375" s="77" t="s">
        <v>82</v>
      </c>
      <c r="E375" s="32"/>
      <c r="F375" s="33"/>
      <c r="G375" s="34"/>
      <c r="H375" s="29">
        <f>SUM(H374)*0.03</f>
        <v>15592.835999999999</v>
      </c>
    </row>
    <row r="376" spans="1:8" x14ac:dyDescent="0.25">
      <c r="A376" s="35" t="s">
        <v>143</v>
      </c>
      <c r="B376" s="36" t="s">
        <v>189</v>
      </c>
      <c r="C376" s="36"/>
      <c r="D376" s="37"/>
      <c r="E376" s="38"/>
      <c r="F376" s="39"/>
      <c r="G376" s="40"/>
      <c r="H376" s="40">
        <f>H377+H383+H389</f>
        <v>7392872.4500000002</v>
      </c>
    </row>
    <row r="377" spans="1:8" x14ac:dyDescent="0.25">
      <c r="A377" s="41" t="s">
        <v>144</v>
      </c>
      <c r="B377" s="42" t="s">
        <v>181</v>
      </c>
      <c r="C377" s="43"/>
      <c r="D377" s="44"/>
      <c r="E377" s="45" t="s">
        <v>20</v>
      </c>
      <c r="F377" s="46">
        <v>1497.6</v>
      </c>
      <c r="G377" s="46">
        <f>ROUND((H378+H379)/F377,2)</f>
        <v>0</v>
      </c>
      <c r="H377" s="58">
        <f>ROUND(G377*F377,2)</f>
        <v>0</v>
      </c>
    </row>
    <row r="378" spans="1:8" x14ac:dyDescent="0.25">
      <c r="A378" s="24"/>
      <c r="B378" s="47" t="s">
        <v>21</v>
      </c>
      <c r="C378" s="25"/>
      <c r="D378" s="26"/>
      <c r="E378" s="27" t="s">
        <v>20</v>
      </c>
      <c r="F378" s="28">
        <f>F377</f>
        <v>1497.6</v>
      </c>
      <c r="G378" s="27"/>
      <c r="H378" s="29">
        <f>G378*F378</f>
        <v>0</v>
      </c>
    </row>
    <row r="379" spans="1:8" x14ac:dyDescent="0.25">
      <c r="A379" s="24"/>
      <c r="B379" s="48" t="s">
        <v>22</v>
      </c>
      <c r="C379" s="25"/>
      <c r="D379" s="26"/>
      <c r="E379" s="49"/>
      <c r="F379" s="28"/>
      <c r="G379" s="27">
        <f>H379/F377</f>
        <v>0</v>
      </c>
      <c r="H379" s="29">
        <f>SUM(H380:H382)</f>
        <v>0</v>
      </c>
    </row>
    <row r="380" spans="1:8" x14ac:dyDescent="0.25">
      <c r="A380" s="24"/>
      <c r="B380" s="50"/>
      <c r="C380" s="50" t="s">
        <v>45</v>
      </c>
      <c r="D380" s="31">
        <v>1.2</v>
      </c>
      <c r="E380" s="32" t="s">
        <v>20</v>
      </c>
      <c r="F380" s="51">
        <f>(D380*F377)</f>
        <v>1797.12</v>
      </c>
      <c r="G380" s="52"/>
      <c r="H380" s="29">
        <f>G380*F380</f>
        <v>0</v>
      </c>
    </row>
    <row r="381" spans="1:8" x14ac:dyDescent="0.25">
      <c r="A381" s="24"/>
      <c r="B381" s="50"/>
      <c r="C381" s="50" t="s">
        <v>39</v>
      </c>
      <c r="D381" s="31">
        <v>7</v>
      </c>
      <c r="E381" s="32" t="s">
        <v>28</v>
      </c>
      <c r="F381" s="51">
        <f>(D381*F377)</f>
        <v>10483.199999999999</v>
      </c>
      <c r="G381" s="52"/>
      <c r="H381" s="29">
        <f>G381*F381</f>
        <v>0</v>
      </c>
    </row>
    <row r="382" spans="1:8" x14ac:dyDescent="0.25">
      <c r="A382" s="30"/>
      <c r="B382" s="50"/>
      <c r="C382" s="50" t="s">
        <v>81</v>
      </c>
      <c r="D382" s="77" t="s">
        <v>82</v>
      </c>
      <c r="E382" s="32"/>
      <c r="F382" s="33"/>
      <c r="G382" s="34"/>
      <c r="H382" s="29">
        <f>SUM(H380:H381)*0.03</f>
        <v>0</v>
      </c>
    </row>
    <row r="383" spans="1:8" x14ac:dyDescent="0.25">
      <c r="A383" s="41" t="s">
        <v>145</v>
      </c>
      <c r="B383" s="42" t="s">
        <v>86</v>
      </c>
      <c r="C383" s="43"/>
      <c r="D383" s="44"/>
      <c r="E383" s="45" t="s">
        <v>20</v>
      </c>
      <c r="F383" s="46">
        <f>F377</f>
        <v>1497.6</v>
      </c>
      <c r="G383" s="46">
        <f>ROUND((H384+H385)/F383,2)</f>
        <v>116.08</v>
      </c>
      <c r="H383" s="58">
        <f>ROUND(G383*F383,2)</f>
        <v>173841.41</v>
      </c>
    </row>
    <row r="384" spans="1:8" x14ac:dyDescent="0.25">
      <c r="A384" s="24"/>
      <c r="B384" s="47" t="s">
        <v>21</v>
      </c>
      <c r="C384" s="25"/>
      <c r="D384" s="26"/>
      <c r="E384" s="27" t="s">
        <v>20</v>
      </c>
      <c r="F384" s="28">
        <f>F383</f>
        <v>1497.6</v>
      </c>
      <c r="G384" s="27"/>
      <c r="H384" s="29">
        <f>G384*F384</f>
        <v>0</v>
      </c>
    </row>
    <row r="385" spans="1:8" x14ac:dyDescent="0.25">
      <c r="A385" s="24"/>
      <c r="B385" s="48" t="s">
        <v>22</v>
      </c>
      <c r="C385" s="25"/>
      <c r="D385" s="26"/>
      <c r="E385" s="49"/>
      <c r="F385" s="28"/>
      <c r="G385" s="27">
        <f>H385/F383</f>
        <v>116.081</v>
      </c>
      <c r="H385" s="29">
        <f>SUM(H386:H388)</f>
        <v>173842.9056</v>
      </c>
    </row>
    <row r="386" spans="1:8" ht="25.5" x14ac:dyDescent="0.25">
      <c r="A386" s="24"/>
      <c r="B386" s="50"/>
      <c r="C386" s="50" t="s">
        <v>186</v>
      </c>
      <c r="D386" s="84">
        <f>0.15*1.05</f>
        <v>0.1575</v>
      </c>
      <c r="E386" s="32" t="s">
        <v>25</v>
      </c>
      <c r="F386" s="51">
        <f>(D386*F383)</f>
        <v>235.87199999999999</v>
      </c>
      <c r="G386" s="52"/>
      <c r="H386" s="29">
        <f>G386*F386</f>
        <v>0</v>
      </c>
    </row>
    <row r="387" spans="1:8" x14ac:dyDescent="0.25">
      <c r="A387" s="24"/>
      <c r="B387" s="50"/>
      <c r="C387" s="50" t="s">
        <v>157</v>
      </c>
      <c r="D387" s="31">
        <v>14</v>
      </c>
      <c r="E387" s="32" t="s">
        <v>28</v>
      </c>
      <c r="F387" s="51">
        <f>(D387*F383)</f>
        <v>20966.399999999998</v>
      </c>
      <c r="G387" s="52">
        <v>8.0500000000000007</v>
      </c>
      <c r="H387" s="29">
        <f>G387*F387</f>
        <v>168779.51999999999</v>
      </c>
    </row>
    <row r="388" spans="1:8" x14ac:dyDescent="0.25">
      <c r="A388" s="30"/>
      <c r="B388" s="50"/>
      <c r="C388" s="50" t="s">
        <v>81</v>
      </c>
      <c r="D388" s="77" t="s">
        <v>82</v>
      </c>
      <c r="E388" s="32"/>
      <c r="F388" s="33"/>
      <c r="G388" s="34"/>
      <c r="H388" s="29">
        <f>SUM(H386:H387)*0.03</f>
        <v>5063.3855999999996</v>
      </c>
    </row>
    <row r="389" spans="1:8" x14ac:dyDescent="0.25">
      <c r="A389" s="41" t="s">
        <v>146</v>
      </c>
      <c r="B389" s="42" t="s">
        <v>190</v>
      </c>
      <c r="C389" s="43"/>
      <c r="D389" s="44"/>
      <c r="E389" s="45" t="s">
        <v>20</v>
      </c>
      <c r="F389" s="46">
        <f>F377</f>
        <v>1497.6</v>
      </c>
      <c r="G389" s="46">
        <f>ROUND((H390+H391)/F389,2)</f>
        <v>4820.3999999999996</v>
      </c>
      <c r="H389" s="58">
        <f>ROUND(G389*F389,2)</f>
        <v>7219031.04</v>
      </c>
    </row>
    <row r="390" spans="1:8" x14ac:dyDescent="0.25">
      <c r="A390" s="24"/>
      <c r="B390" s="47" t="s">
        <v>21</v>
      </c>
      <c r="C390" s="25"/>
      <c r="D390" s="26"/>
      <c r="E390" s="27" t="s">
        <v>20</v>
      </c>
      <c r="F390" s="28">
        <f>F389</f>
        <v>1497.6</v>
      </c>
      <c r="G390" s="27"/>
      <c r="H390" s="29">
        <f>G390*F390</f>
        <v>0</v>
      </c>
    </row>
    <row r="391" spans="1:8" x14ac:dyDescent="0.25">
      <c r="A391" s="24"/>
      <c r="B391" s="48" t="s">
        <v>22</v>
      </c>
      <c r="C391" s="25"/>
      <c r="D391" s="26"/>
      <c r="E391" s="49"/>
      <c r="F391" s="28"/>
      <c r="G391" s="27">
        <f>H391/F389</f>
        <v>4820.4000000000005</v>
      </c>
      <c r="H391" s="29">
        <f>SUM(H392:H393)</f>
        <v>7219031.04</v>
      </c>
    </row>
    <row r="392" spans="1:8" x14ac:dyDescent="0.25">
      <c r="A392" s="24"/>
      <c r="B392" s="50"/>
      <c r="C392" s="50" t="s">
        <v>152</v>
      </c>
      <c r="D392" s="31">
        <v>1.3</v>
      </c>
      <c r="E392" s="32" t="s">
        <v>20</v>
      </c>
      <c r="F392" s="51">
        <f>(D392*F389)</f>
        <v>1946.8799999999999</v>
      </c>
      <c r="G392" s="52">
        <v>3600</v>
      </c>
      <c r="H392" s="29">
        <f>G392*F392</f>
        <v>7008768</v>
      </c>
    </row>
    <row r="393" spans="1:8" x14ac:dyDescent="0.25">
      <c r="A393" s="30"/>
      <c r="B393" s="50"/>
      <c r="C393" s="50" t="s">
        <v>81</v>
      </c>
      <c r="D393" s="77" t="s">
        <v>82</v>
      </c>
      <c r="E393" s="32"/>
      <c r="F393" s="33"/>
      <c r="G393" s="34"/>
      <c r="H393" s="29">
        <f>SUM(H392)*0.03</f>
        <v>210263.03999999998</v>
      </c>
    </row>
    <row r="394" spans="1:8" x14ac:dyDescent="0.25">
      <c r="A394" s="35" t="s">
        <v>147</v>
      </c>
      <c r="B394" s="36" t="s">
        <v>57</v>
      </c>
      <c r="C394" s="36"/>
      <c r="D394" s="37"/>
      <c r="E394" s="38"/>
      <c r="F394" s="39"/>
      <c r="G394" s="40"/>
      <c r="H394" s="40">
        <f>H395+H400+H409+H416</f>
        <v>0</v>
      </c>
    </row>
    <row r="395" spans="1:8" x14ac:dyDescent="0.25">
      <c r="A395" s="41" t="s">
        <v>148</v>
      </c>
      <c r="B395" s="42" t="s">
        <v>59</v>
      </c>
      <c r="C395" s="43"/>
      <c r="D395" s="44"/>
      <c r="E395" s="45" t="s">
        <v>60</v>
      </c>
      <c r="F395" s="46">
        <v>2172</v>
      </c>
      <c r="G395" s="46">
        <f>ROUND((H396+H397)/F395,2)</f>
        <v>0</v>
      </c>
      <c r="H395" s="58">
        <f>ROUND(G395*F395,2)</f>
        <v>0</v>
      </c>
    </row>
    <row r="396" spans="1:8" x14ac:dyDescent="0.25">
      <c r="A396" s="24"/>
      <c r="B396" s="47" t="s">
        <v>21</v>
      </c>
      <c r="C396" s="25"/>
      <c r="D396" s="26"/>
      <c r="E396" s="27" t="s">
        <v>60</v>
      </c>
      <c r="F396" s="28">
        <f>F395</f>
        <v>2172</v>
      </c>
      <c r="G396" s="27"/>
      <c r="H396" s="29">
        <f>G396*F396</f>
        <v>0</v>
      </c>
    </row>
    <row r="397" spans="1:8" x14ac:dyDescent="0.25">
      <c r="A397" s="24"/>
      <c r="B397" s="48" t="s">
        <v>22</v>
      </c>
      <c r="C397" s="25"/>
      <c r="D397" s="26"/>
      <c r="E397" s="49"/>
      <c r="F397" s="28"/>
      <c r="G397" s="27">
        <f>H397/F395</f>
        <v>0</v>
      </c>
      <c r="H397" s="29">
        <f>SUM(H398:H399)</f>
        <v>0</v>
      </c>
    </row>
    <row r="398" spans="1:8" ht="25.5" x14ac:dyDescent="0.25">
      <c r="A398" s="24"/>
      <c r="B398" s="50"/>
      <c r="C398" s="50" t="s">
        <v>61</v>
      </c>
      <c r="D398" s="31">
        <v>1.1000000000000001</v>
      </c>
      <c r="E398" s="32" t="s">
        <v>32</v>
      </c>
      <c r="F398" s="51">
        <f>(D398*F395)</f>
        <v>2389.2000000000003</v>
      </c>
      <c r="G398" s="52"/>
      <c r="H398" s="29">
        <f>G398*F398</f>
        <v>0</v>
      </c>
    </row>
    <row r="399" spans="1:8" x14ac:dyDescent="0.25">
      <c r="A399" s="30"/>
      <c r="B399" s="50"/>
      <c r="C399" s="50" t="s">
        <v>81</v>
      </c>
      <c r="D399" s="77" t="s">
        <v>82</v>
      </c>
      <c r="E399" s="32"/>
      <c r="F399" s="33"/>
      <c r="G399" s="34"/>
      <c r="H399" s="29">
        <f>SUM(H398)*0.03</f>
        <v>0</v>
      </c>
    </row>
    <row r="400" spans="1:8" x14ac:dyDescent="0.25">
      <c r="A400" s="41" t="s">
        <v>151</v>
      </c>
      <c r="B400" s="42" t="s">
        <v>65</v>
      </c>
      <c r="C400" s="43"/>
      <c r="D400" s="44"/>
      <c r="E400" s="45" t="s">
        <v>60</v>
      </c>
      <c r="F400" s="46">
        <v>1332.6</v>
      </c>
      <c r="G400" s="46">
        <f>ROUND((H401+H402)/F400,2)</f>
        <v>0</v>
      </c>
      <c r="H400" s="58">
        <f>ROUND(G400*F400,2)</f>
        <v>0</v>
      </c>
    </row>
    <row r="401" spans="1:9" x14ac:dyDescent="0.25">
      <c r="A401" s="24"/>
      <c r="B401" s="47" t="s">
        <v>21</v>
      </c>
      <c r="C401" s="25"/>
      <c r="D401" s="26"/>
      <c r="E401" s="27" t="s">
        <v>60</v>
      </c>
      <c r="F401" s="28">
        <f>F400</f>
        <v>1332.6</v>
      </c>
      <c r="G401" s="27"/>
      <c r="H401" s="29">
        <f>G401*F401</f>
        <v>0</v>
      </c>
    </row>
    <row r="402" spans="1:9" x14ac:dyDescent="0.25">
      <c r="A402" s="24"/>
      <c r="B402" s="48" t="s">
        <v>22</v>
      </c>
      <c r="C402" s="25"/>
      <c r="D402" s="26"/>
      <c r="E402" s="49"/>
      <c r="F402" s="28"/>
      <c r="G402" s="27">
        <f>H402/F400</f>
        <v>0</v>
      </c>
      <c r="H402" s="29">
        <f>SUM(H403:H408)</f>
        <v>0</v>
      </c>
    </row>
    <row r="403" spans="1:9" ht="25.5" x14ac:dyDescent="0.25">
      <c r="A403" s="24"/>
      <c r="B403" s="50"/>
      <c r="C403" s="50" t="s">
        <v>63</v>
      </c>
      <c r="D403" s="31">
        <v>1.1000000000000001</v>
      </c>
      <c r="E403" s="32" t="s">
        <v>32</v>
      </c>
      <c r="F403" s="51">
        <f>(D403*F400)</f>
        <v>1465.8600000000001</v>
      </c>
      <c r="G403" s="52"/>
      <c r="H403" s="29">
        <f>G403*F403</f>
        <v>0</v>
      </c>
    </row>
    <row r="404" spans="1:9" ht="25.5" x14ac:dyDescent="0.25">
      <c r="A404" s="24"/>
      <c r="B404" s="50"/>
      <c r="C404" s="50" t="s">
        <v>33</v>
      </c>
      <c r="D404" s="31">
        <v>0.1</v>
      </c>
      <c r="E404" s="32" t="s">
        <v>24</v>
      </c>
      <c r="F404" s="51">
        <f>(D404*F400)</f>
        <v>133.26</v>
      </c>
      <c r="G404" s="52"/>
      <c r="H404" s="29">
        <f>G404*F404</f>
        <v>0</v>
      </c>
    </row>
    <row r="405" spans="1:9" x14ac:dyDescent="0.25">
      <c r="A405" s="24"/>
      <c r="B405" s="47"/>
      <c r="C405" s="50" t="s">
        <v>66</v>
      </c>
      <c r="D405" s="31">
        <v>0.2</v>
      </c>
      <c r="E405" s="32" t="s">
        <v>28</v>
      </c>
      <c r="F405" s="51">
        <f>(D405*F401)</f>
        <v>266.52</v>
      </c>
      <c r="G405" s="52"/>
      <c r="H405" s="29">
        <f>G405*F405</f>
        <v>0</v>
      </c>
    </row>
    <row r="406" spans="1:9" x14ac:dyDescent="0.25">
      <c r="A406" s="24"/>
      <c r="B406" s="47"/>
      <c r="C406" s="50" t="s">
        <v>67</v>
      </c>
      <c r="D406" s="31">
        <v>2</v>
      </c>
      <c r="E406" s="32" t="s">
        <v>28</v>
      </c>
      <c r="F406" s="51">
        <f>719*D406</f>
        <v>1438</v>
      </c>
      <c r="G406" s="52"/>
      <c r="H406" s="29">
        <f>G406*F406</f>
        <v>0</v>
      </c>
      <c r="I406" t="s">
        <v>156</v>
      </c>
    </row>
    <row r="407" spans="1:9" x14ac:dyDescent="0.25">
      <c r="A407" s="24"/>
      <c r="B407" s="47"/>
      <c r="C407" s="50" t="s">
        <v>68</v>
      </c>
      <c r="D407" s="31">
        <v>3</v>
      </c>
      <c r="E407" s="32" t="s">
        <v>28</v>
      </c>
      <c r="F407" s="51">
        <f>(D407*F401)</f>
        <v>3997.7999999999997</v>
      </c>
      <c r="G407" s="52"/>
      <c r="H407" s="29">
        <f>G407*F407</f>
        <v>0</v>
      </c>
    </row>
    <row r="408" spans="1:9" x14ac:dyDescent="0.25">
      <c r="A408" s="30"/>
      <c r="B408" s="50"/>
      <c r="C408" s="50" t="s">
        <v>81</v>
      </c>
      <c r="D408" s="77" t="s">
        <v>82</v>
      </c>
      <c r="E408" s="32"/>
      <c r="F408" s="33"/>
      <c r="G408" s="34"/>
      <c r="H408" s="29">
        <f>SUM(H403:H407)*0.03</f>
        <v>0</v>
      </c>
    </row>
    <row r="409" spans="1:9" x14ac:dyDescent="0.25">
      <c r="A409" s="54" t="s">
        <v>149</v>
      </c>
      <c r="B409" s="87" t="s">
        <v>69</v>
      </c>
      <c r="C409" s="88"/>
      <c r="D409" s="55"/>
      <c r="E409" s="56" t="s">
        <v>28</v>
      </c>
      <c r="F409" s="57">
        <v>456</v>
      </c>
      <c r="G409" s="46">
        <f>ROUND((H410+H411)/F409,2)</f>
        <v>0</v>
      </c>
      <c r="H409" s="58">
        <f>ROUND(G409*F409,2)</f>
        <v>0</v>
      </c>
    </row>
    <row r="410" spans="1:9" x14ac:dyDescent="0.25">
      <c r="A410" s="24"/>
      <c r="B410" s="50" t="s">
        <v>21</v>
      </c>
      <c r="C410" s="50"/>
      <c r="D410" s="31"/>
      <c r="E410" s="32" t="s">
        <v>28</v>
      </c>
      <c r="F410" s="28">
        <f>F409</f>
        <v>456</v>
      </c>
      <c r="G410" s="52"/>
      <c r="H410" s="29">
        <f>F410*G410</f>
        <v>0</v>
      </c>
    </row>
    <row r="411" spans="1:9" x14ac:dyDescent="0.25">
      <c r="A411" s="24"/>
      <c r="B411" s="50" t="s">
        <v>18</v>
      </c>
      <c r="C411" s="50"/>
      <c r="D411" s="31"/>
      <c r="E411" s="32"/>
      <c r="F411" s="51"/>
      <c r="G411" s="27">
        <f>H411/F409</f>
        <v>0</v>
      </c>
      <c r="H411" s="29">
        <f>SUM(H412:H415)</f>
        <v>0</v>
      </c>
    </row>
    <row r="412" spans="1:9" x14ac:dyDescent="0.25">
      <c r="A412" s="24"/>
      <c r="B412" s="50"/>
      <c r="C412" s="50" t="s">
        <v>70</v>
      </c>
      <c r="D412" s="31">
        <v>1</v>
      </c>
      <c r="E412" s="32" t="s">
        <v>71</v>
      </c>
      <c r="F412" s="51">
        <f>(D412*F409)</f>
        <v>456</v>
      </c>
      <c r="G412" s="52"/>
      <c r="H412" s="29">
        <f>G412*F412</f>
        <v>0</v>
      </c>
    </row>
    <row r="413" spans="1:9" x14ac:dyDescent="0.25">
      <c r="A413" s="24"/>
      <c r="B413" s="50"/>
      <c r="C413" s="50" t="s">
        <v>72</v>
      </c>
      <c r="D413" s="31">
        <v>0.35</v>
      </c>
      <c r="E413" s="32" t="s">
        <v>28</v>
      </c>
      <c r="F413" s="51">
        <f>(D413*F409)</f>
        <v>159.6</v>
      </c>
      <c r="G413" s="52"/>
      <c r="H413" s="29">
        <f>G413*F413</f>
        <v>0</v>
      </c>
    </row>
    <row r="414" spans="1:9" x14ac:dyDescent="0.25">
      <c r="A414" s="24"/>
      <c r="B414" s="50"/>
      <c r="C414" s="50" t="s">
        <v>73</v>
      </c>
      <c r="D414" s="31">
        <v>0.21</v>
      </c>
      <c r="E414" s="32" t="s">
        <v>27</v>
      </c>
      <c r="F414" s="51">
        <f>(D414*F409)</f>
        <v>95.759999999999991</v>
      </c>
      <c r="G414" s="52"/>
      <c r="H414" s="29">
        <f>G414*F414</f>
        <v>0</v>
      </c>
    </row>
    <row r="415" spans="1:9" x14ac:dyDescent="0.25">
      <c r="A415" s="30"/>
      <c r="B415" s="50"/>
      <c r="C415" s="50" t="s">
        <v>81</v>
      </c>
      <c r="D415" s="77" t="s">
        <v>82</v>
      </c>
      <c r="E415" s="32"/>
      <c r="F415" s="33"/>
      <c r="G415" s="34"/>
      <c r="H415" s="29">
        <f>SUM(H412:H414)*0.03</f>
        <v>0</v>
      </c>
    </row>
    <row r="416" spans="1:9" x14ac:dyDescent="0.25">
      <c r="A416" s="41" t="s">
        <v>150</v>
      </c>
      <c r="B416" s="42" t="s">
        <v>94</v>
      </c>
      <c r="C416" s="43"/>
      <c r="D416" s="44"/>
      <c r="E416" s="45" t="s">
        <v>60</v>
      </c>
      <c r="F416" s="46">
        <f>47.68*2</f>
        <v>95.36</v>
      </c>
      <c r="G416" s="46">
        <f>ROUND((H417+H418)/F416,2)</f>
        <v>0</v>
      </c>
      <c r="H416" s="58">
        <f>ROUND(G416*F416,2)</f>
        <v>0</v>
      </c>
    </row>
    <row r="417" spans="1:8" x14ac:dyDescent="0.25">
      <c r="A417" s="24"/>
      <c r="B417" s="47" t="s">
        <v>21</v>
      </c>
      <c r="C417" s="25"/>
      <c r="D417" s="26"/>
      <c r="E417" s="27" t="s">
        <v>60</v>
      </c>
      <c r="F417" s="28">
        <f>F416</f>
        <v>95.36</v>
      </c>
      <c r="G417" s="27"/>
      <c r="H417" s="29">
        <f>G417*F417</f>
        <v>0</v>
      </c>
    </row>
    <row r="418" spans="1:8" x14ac:dyDescent="0.25">
      <c r="A418" s="24"/>
      <c r="B418" s="48" t="s">
        <v>22</v>
      </c>
      <c r="C418" s="25"/>
      <c r="D418" s="26"/>
      <c r="E418" s="49"/>
      <c r="F418" s="28"/>
      <c r="G418" s="27">
        <f>H418/F416</f>
        <v>0</v>
      </c>
      <c r="H418" s="29">
        <f>SUM(H419:H421)</f>
        <v>0</v>
      </c>
    </row>
    <row r="419" spans="1:8" x14ac:dyDescent="0.25">
      <c r="A419" s="24"/>
      <c r="B419" s="50"/>
      <c r="C419" s="50" t="s">
        <v>95</v>
      </c>
      <c r="D419" s="31">
        <v>0.05</v>
      </c>
      <c r="E419" s="32" t="s">
        <v>32</v>
      </c>
      <c r="F419" s="51">
        <f>(D419*F416)</f>
        <v>4.7679999999999998</v>
      </c>
      <c r="G419" s="52"/>
      <c r="H419" s="29">
        <f>G419*F419</f>
        <v>0</v>
      </c>
    </row>
    <row r="420" spans="1:8" x14ac:dyDescent="0.25">
      <c r="A420" s="30"/>
      <c r="B420" s="50"/>
      <c r="C420" s="50" t="s">
        <v>96</v>
      </c>
      <c r="D420" s="31">
        <v>1.1000000000000001</v>
      </c>
      <c r="E420" s="32" t="s">
        <v>32</v>
      </c>
      <c r="F420" s="51">
        <f>D420*F416</f>
        <v>104.896</v>
      </c>
      <c r="G420" s="32"/>
      <c r="H420" s="29">
        <f>G420*F420</f>
        <v>0</v>
      </c>
    </row>
    <row r="421" spans="1:8" x14ac:dyDescent="0.25">
      <c r="A421" s="30"/>
      <c r="B421" s="50"/>
      <c r="C421" s="50" t="s">
        <v>81</v>
      </c>
      <c r="D421" s="77" t="s">
        <v>82</v>
      </c>
      <c r="E421" s="32"/>
      <c r="F421" s="33"/>
      <c r="G421" s="34"/>
      <c r="H421" s="29">
        <f>SUM(H419:H420)*0.03</f>
        <v>0</v>
      </c>
    </row>
    <row r="422" spans="1:8" x14ac:dyDescent="0.25">
      <c r="A422" s="59"/>
      <c r="B422" s="60" t="s">
        <v>74</v>
      </c>
      <c r="C422" s="61"/>
      <c r="D422" s="61"/>
      <c r="E422" s="61"/>
      <c r="F422" s="62"/>
      <c r="G422" s="63"/>
      <c r="H422" s="64">
        <f>H19+H43+H61+H82+H106+H127+H148+H169+H190+H208+H229+H256+H268+H340+H358+H376+H394+H322+H304+H286</f>
        <v>24215187.359999999</v>
      </c>
    </row>
    <row r="423" spans="1:8" x14ac:dyDescent="0.25">
      <c r="A423" s="59"/>
      <c r="B423" s="60" t="s">
        <v>75</v>
      </c>
      <c r="C423" s="61"/>
      <c r="D423" s="61"/>
      <c r="E423" s="61"/>
      <c r="F423" s="62"/>
      <c r="G423" s="63"/>
      <c r="H423" s="64">
        <f>H422-H422/1.2</f>
        <v>4035864.5599999987</v>
      </c>
    </row>
    <row r="424" spans="1:8" x14ac:dyDescent="0.25">
      <c r="A424" s="59"/>
      <c r="B424" s="65" t="s">
        <v>76</v>
      </c>
      <c r="C424" s="66"/>
      <c r="D424" s="66"/>
      <c r="E424" s="66"/>
      <c r="F424" s="67"/>
      <c r="G424" s="68"/>
      <c r="H424" s="69">
        <f>H396+H401+H410+H417+H390+H384+H378+H372+H366+H360+H354+H348+H342+H282+H276+H270+H336+H330+H324+H318+H312+H306+H300+H294+H288+H264+H258+H251+H245+H239+H231+H224+H218+H210+H203+H197+H192+H185+H179+H171+H164+H158+H150+H143+H137+H129+H122+H116+H108+H101+H92+H84+H77+H71+H63+H56+H50+H45+H38+H29+H21</f>
        <v>0</v>
      </c>
    </row>
    <row r="425" spans="1:8" x14ac:dyDescent="0.25">
      <c r="A425" s="70"/>
      <c r="B425" s="71" t="s">
        <v>77</v>
      </c>
      <c r="C425" s="72"/>
      <c r="D425" s="72"/>
      <c r="E425" s="72"/>
      <c r="F425" s="73"/>
      <c r="G425" s="67"/>
      <c r="H425" s="74">
        <f>H418+H411+H402+H397+H391+H385+H379+H373+H367+H361+H355+H349+H283+H343+H277+H271+H337+H331+H325+H319+H313+H307+H301+H295+H289+H265+H259+H252+H246+H240+H232+H225+H219+H211+H204+H198+H193+H186+H180+H172+H165+H159+H151+H144+H138+H130+H123+H117+H109+H102+H93+H85+H78+H72+H64+H57+H51+H46+H39+H30+H22</f>
        <v>24215285.286676604</v>
      </c>
    </row>
  </sheetData>
  <mergeCells count="6">
    <mergeCell ref="J3:AA4"/>
    <mergeCell ref="B409:C409"/>
    <mergeCell ref="A2:H2"/>
    <mergeCell ref="A3:H3"/>
    <mergeCell ref="C5:H5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2020-03-24T06:24:57Z</dcterms:modified>
</cp:coreProperties>
</file>